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autoCompressPictures="0"/>
  <mc:AlternateContent xmlns:mc="http://schemas.openxmlformats.org/markup-compatibility/2006">
    <mc:Choice Requires="x15">
      <x15ac:absPath xmlns:x15ac="http://schemas.microsoft.com/office/spreadsheetml/2010/11/ac" url="C:\Users\mscott\Documents\Web Site\Environmental Files for Web\"/>
    </mc:Choice>
  </mc:AlternateContent>
  <xr:revisionPtr revIDLastSave="0" documentId="8_{8601A1A3-31DD-4C0F-A51E-F4FF03C14FC7}" xr6:coauthVersionLast="45" xr6:coauthVersionMax="45"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20" yWindow="-120" windowWidth="20730" windowHeight="111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S120" i="5"/>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V79" i="5"/>
  <c r="V78" i="5"/>
  <c r="R78" i="5" s="1"/>
  <c r="V77" i="5"/>
  <c r="V76" i="5"/>
  <c r="R76" i="5" s="1"/>
  <c r="V75" i="5"/>
  <c r="V74" i="5"/>
  <c r="E74" i="5" s="1"/>
  <c r="X74" i="5" s="1"/>
  <c r="V73" i="5"/>
  <c r="V72" i="5"/>
  <c r="R72" i="5" s="1"/>
  <c r="V70" i="5"/>
  <c r="H70" i="5" s="1"/>
  <c r="V69" i="5"/>
  <c r="R69" i="5" s="1"/>
  <c r="V68" i="5"/>
  <c r="R68" i="5" s="1"/>
  <c r="V67" i="5"/>
  <c r="V66" i="5"/>
  <c r="R66" i="5" s="1"/>
  <c r="V65" i="5"/>
  <c r="R65" i="5" s="1"/>
  <c r="V64" i="5"/>
  <c r="R64" i="5" s="1"/>
  <c r="V63" i="5"/>
  <c r="V62" i="5"/>
  <c r="R62" i="5" s="1"/>
  <c r="V61" i="5"/>
  <c r="V60" i="5"/>
  <c r="R60" i="5" s="1"/>
  <c r="V59" i="5"/>
  <c r="H59" i="5" s="1"/>
  <c r="V58" i="5"/>
  <c r="E58" i="5" s="1"/>
  <c r="X58" i="5" s="1"/>
  <c r="V57" i="5"/>
  <c r="V56" i="5"/>
  <c r="R56" i="5" s="1"/>
  <c r="V55" i="5"/>
  <c r="H55" i="5" s="1"/>
  <c r="V54" i="5"/>
  <c r="H54" i="5" s="1"/>
  <c r="V53" i="5"/>
  <c r="R53" i="5" s="1"/>
  <c r="V52" i="5"/>
  <c r="R52" i="5" s="1"/>
  <c r="V51" i="5"/>
  <c r="V50" i="5"/>
  <c r="R50" i="5" s="1"/>
  <c r="V49" i="5"/>
  <c r="R49" i="5" s="1"/>
  <c r="V48" i="5"/>
  <c r="R48" i="5" s="1"/>
  <c r="V47" i="5"/>
  <c r="V46" i="5"/>
  <c r="R46" i="5" s="1"/>
  <c r="V45" i="5"/>
  <c r="R45" i="5" s="1"/>
  <c r="V44" i="5"/>
  <c r="R44" i="5" s="1"/>
  <c r="V42" i="5"/>
  <c r="E42" i="5" s="1"/>
  <c r="X42" i="5" s="1"/>
  <c r="V41" i="5"/>
  <c r="V40" i="5"/>
  <c r="R40" i="5" s="1"/>
  <c r="V39" i="5"/>
  <c r="H39" i="5" s="1"/>
  <c r="V38" i="5"/>
  <c r="H38" i="5" s="1"/>
  <c r="V37" i="5"/>
  <c r="R37" i="5" s="1"/>
  <c r="V36" i="5"/>
  <c r="R36" i="5" s="1"/>
  <c r="V35" i="5"/>
  <c r="V34" i="5"/>
  <c r="R34" i="5" s="1"/>
  <c r="V33" i="5"/>
  <c r="R33" i="5" s="1"/>
  <c r="V32" i="5"/>
  <c r="R32" i="5" s="1"/>
  <c r="V31" i="5"/>
  <c r="V30" i="5"/>
  <c r="I30" i="5" s="1"/>
  <c r="V29" i="5"/>
  <c r="H29" i="5" s="1"/>
  <c r="V28" i="5"/>
  <c r="E28" i="5" s="1"/>
  <c r="V27" i="5"/>
  <c r="V26" i="5"/>
  <c r="I26" i="5" s="1"/>
  <c r="V25" i="5"/>
  <c r="V24" i="5"/>
  <c r="R24" i="5" s="1"/>
  <c r="V23" i="5"/>
  <c r="H23" i="5" s="1"/>
  <c r="V22" i="5"/>
  <c r="I22" i="5" s="1"/>
  <c r="V21" i="5"/>
  <c r="V20" i="5"/>
  <c r="R20" i="5" s="1"/>
  <c r="V19" i="5"/>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R86" i="5" l="1"/>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H58"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E46" i="5"/>
  <c r="I74" i="5"/>
  <c r="E78" i="5"/>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E26" i="5"/>
  <c r="X26" i="5" s="1"/>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R22" i="5"/>
  <c r="G38"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G48" i="5"/>
  <c r="G74" i="5"/>
  <c r="G86" i="5"/>
  <c r="J107" i="5"/>
  <c r="S178" i="5"/>
  <c r="AB178" i="5"/>
  <c r="T178" i="5"/>
  <c r="V215" i="5"/>
  <c r="G215" i="5" s="1"/>
  <c r="R299" i="5"/>
  <c r="J299" i="5"/>
  <c r="T312" i="5"/>
  <c r="S312" i="5"/>
  <c r="T379" i="5"/>
  <c r="S379" i="5"/>
  <c r="E392" i="5"/>
  <c r="X392" i="5" s="1"/>
  <c r="I392" i="5"/>
  <c r="H392" i="5"/>
  <c r="E62" i="5"/>
  <c r="S110" i="5"/>
  <c r="AB110" i="5"/>
  <c r="R3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X527" i="5" s="1"/>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J29" i="5"/>
  <c r="I37" i="5"/>
  <c r="R3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G36" i="5"/>
  <c r="R42" i="5"/>
  <c r="H46" i="5"/>
  <c r="H62" i="5"/>
  <c r="G35" i="5"/>
  <c r="E45" i="5"/>
  <c r="X45" i="5" s="1"/>
  <c r="J47" i="5"/>
  <c r="G50" i="5"/>
  <c r="G51" i="5"/>
  <c r="E55" i="5"/>
  <c r="X55" i="5" s="1"/>
  <c r="I62" i="5"/>
  <c r="J63" i="5"/>
  <c r="G66" i="5"/>
  <c r="G67"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G52" i="5"/>
  <c r="R58" i="5"/>
  <c r="E23" i="5"/>
  <c r="X23" i="5" s="1"/>
  <c r="G24" i="5"/>
  <c r="J25" i="5"/>
  <c r="AB26" i="5"/>
  <c r="G31" i="5"/>
  <c r="G34" i="5"/>
  <c r="E39" i="5"/>
  <c r="X39" i="5" s="1"/>
  <c r="I46" i="5"/>
  <c r="AB22" i="5"/>
  <c r="F23" i="5"/>
  <c r="I24" i="5"/>
  <c r="R25" i="5"/>
  <c r="G30" i="5"/>
  <c r="H34" i="5"/>
  <c r="E38" i="5"/>
  <c r="F39" i="5"/>
  <c r="G40" i="5"/>
  <c r="I45" i="5"/>
  <c r="R47" i="5"/>
  <c r="H50" i="5"/>
  <c r="E54" i="5"/>
  <c r="F55" i="5"/>
  <c r="G56" i="5"/>
  <c r="R63" i="5"/>
  <c r="H66" i="5"/>
  <c r="E70" i="5"/>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G23" i="5"/>
  <c r="E33" i="5"/>
  <c r="X33" i="5" s="1"/>
  <c r="I34" i="5"/>
  <c r="G39" i="5"/>
  <c r="E49" i="5"/>
  <c r="X49" i="5" s="1"/>
  <c r="I50" i="5"/>
  <c r="E65" i="5"/>
  <c r="X65" i="5" s="1"/>
  <c r="I66" i="5"/>
  <c r="E81" i="5"/>
  <c r="X81" i="5" s="1"/>
  <c r="I82" i="5"/>
  <c r="S88" i="5"/>
  <c r="G22" i="5"/>
  <c r="I23" i="5"/>
  <c r="I33" i="5"/>
  <c r="I39" i="5"/>
  <c r="G44"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23" i="5"/>
  <c r="AB32" i="5"/>
  <c r="E37" i="5"/>
  <c r="X37" i="5" s="1"/>
  <c r="J39" i="5"/>
  <c r="E53" i="5"/>
  <c r="X53" i="5" s="1"/>
  <c r="J55"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G6" i="5"/>
  <c r="J5" i="5"/>
  <c r="F19" i="6"/>
  <c r="X341" i="5"/>
  <c r="X304" i="5"/>
  <c r="AB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R5" i="5"/>
  <c r="H6" i="5"/>
  <c r="I19" i="5"/>
  <c r="E20" i="5"/>
  <c r="X20" i="5" s="1"/>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5" i="5"/>
  <c r="I6" i="5"/>
  <c r="F18" i="5"/>
  <c r="J18" i="5"/>
  <c r="G20" i="5"/>
  <c r="AB21" i="5"/>
  <c r="F26" i="5"/>
  <c r="J26" i="5"/>
  <c r="G28"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H28" i="5"/>
  <c r="S109" i="5"/>
  <c r="AB109" i="5"/>
  <c r="E117" i="5"/>
  <c r="X117" i="5" s="1"/>
  <c r="J121" i="5"/>
  <c r="I121" i="5"/>
  <c r="H121" i="5"/>
  <c r="S141" i="5"/>
  <c r="AB141" i="5"/>
  <c r="H146" i="5"/>
  <c r="F150" i="5"/>
  <c r="R150" i="5"/>
  <c r="J150" i="5"/>
  <c r="AB19" i="5"/>
  <c r="E21" i="5"/>
  <c r="X21" i="5" s="1"/>
  <c r="AB27" i="5"/>
  <c r="E29" i="5"/>
  <c r="X29" i="5" s="1"/>
  <c r="F5" i="5"/>
  <c r="H18" i="5"/>
  <c r="F21" i="5"/>
  <c r="E24" i="5"/>
  <c r="X24" i="5" s="1"/>
  <c r="H26" i="5"/>
  <c r="R28" i="5"/>
  <c r="F29" i="5"/>
  <c r="E32" i="5"/>
  <c r="X32" i="5" s="1"/>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20" i="5"/>
  <c r="F20" i="5"/>
  <c r="AB31" i="5"/>
  <c r="G5" i="5"/>
  <c r="F22" i="5"/>
  <c r="J22" i="5"/>
  <c r="AB25" i="5"/>
  <c r="G29"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F6" i="5"/>
  <c r="J6" i="5"/>
  <c r="G21"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S85" i="5"/>
  <c r="AB85" i="5"/>
  <c r="J88" i="5"/>
  <c r="H88" i="5"/>
  <c r="F88" i="5"/>
  <c r="J89" i="5"/>
  <c r="H89" i="5"/>
  <c r="S93" i="5"/>
  <c r="AB93" i="5"/>
  <c r="S97" i="5"/>
  <c r="AB97" i="5"/>
  <c r="H118" i="5"/>
  <c r="F122" i="5"/>
  <c r="R122" i="5"/>
  <c r="J122" i="5"/>
  <c r="J125" i="5"/>
  <c r="I125" i="5"/>
  <c r="H125" i="5"/>
  <c r="T137" i="5"/>
  <c r="I5" i="5"/>
  <c r="E6" i="5"/>
  <c r="R18" i="5"/>
  <c r="F19" i="5"/>
  <c r="I21" i="5"/>
  <c r="E22" i="5"/>
  <c r="R23" i="5"/>
  <c r="H24" i="5"/>
  <c r="R26" i="5"/>
  <c r="F27" i="5"/>
  <c r="I29" i="5"/>
  <c r="E30" i="5"/>
  <c r="X30" i="5" s="1"/>
  <c r="R31" i="5"/>
  <c r="H32" i="5"/>
  <c r="E36" i="5"/>
  <c r="X36" i="5" s="1"/>
  <c r="E40" i="5"/>
  <c r="X40" i="5" s="1"/>
  <c r="E44" i="5"/>
  <c r="E48" i="5"/>
  <c r="E52" i="5"/>
  <c r="X52" i="5" s="1"/>
  <c r="E56" i="5"/>
  <c r="X56" i="5" s="1"/>
  <c r="E60" i="5"/>
  <c r="X60" i="5" s="1"/>
  <c r="E64" i="5"/>
  <c r="X64" i="5" s="1"/>
  <c r="E68" i="5"/>
  <c r="X68" i="5" s="1"/>
  <c r="E72" i="5"/>
  <c r="X72" i="5" s="1"/>
  <c r="E76"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75" i="5"/>
  <c r="S73" i="5"/>
  <c r="T69" i="5"/>
  <c r="T66" i="5"/>
  <c r="S63" i="5"/>
  <c r="T61" i="5"/>
  <c r="S55" i="5"/>
  <c r="T50" i="5"/>
  <c r="S47" i="5"/>
  <c r="T45" i="5"/>
  <c r="S41" i="5"/>
  <c r="T36" i="5"/>
  <c r="T33" i="5"/>
  <c r="S31" i="5"/>
  <c r="T28" i="5"/>
  <c r="S26" i="5"/>
  <c r="T23" i="5"/>
  <c r="S19" i="5"/>
  <c r="T6" i="5"/>
  <c r="S33" i="5"/>
  <c r="T30" i="5"/>
  <c r="S27" i="5"/>
  <c r="T22" i="5"/>
  <c r="T19" i="5"/>
  <c r="T5" i="5"/>
  <c r="T51" i="5"/>
  <c r="T49" i="5"/>
  <c r="T46" i="5"/>
  <c r="S42" i="5"/>
  <c r="T40" i="5"/>
  <c r="S37" i="5"/>
  <c r="S35" i="5"/>
  <c r="T32" i="5"/>
  <c r="T29" i="5"/>
  <c r="T27" i="5"/>
  <c r="S25" i="5"/>
  <c r="T21" i="5"/>
  <c r="S18" i="5"/>
  <c r="S75" i="5"/>
  <c r="S67" i="5"/>
  <c r="T64" i="5"/>
  <c r="S53" i="5"/>
  <c r="S51" i="5"/>
  <c r="T42" i="5"/>
  <c r="T34" i="5"/>
  <c r="S28" i="5"/>
  <c r="T24" i="5"/>
  <c r="T18" i="5"/>
  <c r="T79" i="5"/>
  <c r="S77" i="5"/>
  <c r="S74" i="5"/>
  <c r="T72" i="5"/>
  <c r="T68" i="5"/>
  <c r="T63" i="5"/>
  <c r="S57" i="5"/>
  <c r="T55" i="5"/>
  <c r="T52" i="5"/>
  <c r="S49" i="5"/>
  <c r="T47" i="5"/>
  <c r="T41" i="5"/>
  <c r="T38" i="5"/>
  <c r="T35" i="5"/>
  <c r="T25" i="5"/>
  <c r="T78" i="5"/>
  <c r="S61" i="5"/>
  <c r="T56" i="5"/>
  <c r="T48" i="5"/>
  <c r="S39" i="5"/>
  <c r="T31" i="5"/>
  <c r="T26" i="5"/>
  <c r="T20" i="5"/>
  <c r="S79" i="5"/>
  <c r="T76" i="5"/>
  <c r="T70" i="5"/>
  <c r="T67" i="5"/>
  <c r="S65" i="5"/>
  <c r="T62" i="5"/>
  <c r="T59" i="5"/>
  <c r="T57" i="5"/>
  <c r="T54" i="5"/>
  <c r="T73" i="5"/>
  <c r="S69" i="5"/>
  <c r="S58" i="5"/>
  <c r="S45" i="5"/>
  <c r="T37" i="5"/>
  <c r="T65" i="5"/>
  <c r="T60" i="5"/>
  <c r="T39" i="5"/>
  <c r="T58" i="5"/>
  <c r="T74" i="5"/>
  <c r="T53" i="5"/>
  <c r="T77" i="5"/>
  <c r="T44" i="5"/>
  <c r="X78" i="5" l="1"/>
  <c r="X76" i="5"/>
  <c r="X70" i="5"/>
  <c r="X66" i="5"/>
  <c r="X62" i="5"/>
  <c r="X54" i="5"/>
  <c r="X50" i="5"/>
  <c r="X48" i="5"/>
  <c r="X46" i="5"/>
  <c r="X44" i="5"/>
  <c r="X38" i="5"/>
  <c r="X34" i="5"/>
  <c r="X22" i="5"/>
  <c r="C4" i="6"/>
  <c r="B32" i="6"/>
  <c r="C12" i="6"/>
  <c r="C11" i="6"/>
  <c r="C8" i="6"/>
  <c r="C10" i="6"/>
  <c r="C9" i="6"/>
  <c r="C7"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B35" i="6"/>
  <c r="G35" i="6" s="1"/>
  <c r="X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F66" i="6"/>
  <c r="F50" i="6"/>
  <c r="H50" i="6" s="1"/>
  <c r="D50" i="6" s="1"/>
  <c r="F30" i="6"/>
  <c r="H25" i="6"/>
  <c r="F35" i="6"/>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S78" i="5"/>
  <c r="S70" i="5"/>
  <c r="S62" i="5"/>
  <c r="S54" i="5"/>
  <c r="S46" i="5"/>
  <c r="S38" i="5"/>
  <c r="S30" i="5"/>
  <c r="S5" i="5"/>
  <c r="S76" i="5"/>
  <c r="S68" i="5"/>
  <c r="S60" i="5"/>
  <c r="S52" i="5"/>
  <c r="S44" i="5"/>
  <c r="S36" i="5"/>
  <c r="S29" i="5"/>
  <c r="S21" i="5"/>
  <c r="S50" i="5"/>
  <c r="T43" i="5"/>
  <c r="S20" i="5"/>
  <c r="S56" i="5"/>
  <c r="S32" i="5"/>
  <c r="S6" i="5"/>
  <c r="S22" i="5"/>
  <c r="S72" i="5"/>
  <c r="S66" i="5"/>
  <c r="S59" i="5"/>
  <c r="S34" i="5"/>
  <c r="S24" i="5"/>
  <c r="S64" i="5"/>
  <c r="S48" i="5"/>
  <c r="S40" i="5"/>
  <c r="S23" i="5"/>
  <c r="T71" i="5"/>
  <c r="X71" i="5" l="1"/>
  <c r="X43" i="5"/>
  <c r="H45" i="6"/>
  <c r="D45" i="6" s="1"/>
  <c r="H35" i="6"/>
  <c r="D35" i="6" s="1"/>
  <c r="H46" i="6"/>
  <c r="D46" i="6" s="1"/>
  <c r="H31" i="6"/>
  <c r="C31" i="6" s="1"/>
  <c r="C29" i="6"/>
  <c r="D29" i="6"/>
  <c r="H30" i="6"/>
  <c r="AB12" i="5"/>
  <c r="V12" i="5"/>
  <c r="G12" i="5" s="1"/>
  <c r="V16" i="5"/>
  <c r="G16" i="5" s="1"/>
  <c r="V14" i="5"/>
  <c r="G14" i="5" s="1"/>
  <c r="AB9" i="5"/>
  <c r="G68" i="6" s="1"/>
  <c r="H68" i="6" s="1"/>
  <c r="D68" i="6" s="1"/>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C24" i="6"/>
  <c r="X100" i="5"/>
  <c r="D27" i="6"/>
  <c r="C27" i="6"/>
  <c r="C36" i="6"/>
  <c r="C42" i="6"/>
  <c r="C40" i="6"/>
  <c r="C41" i="6"/>
  <c r="C20" i="6"/>
  <c r="D20" i="6"/>
  <c r="C2" i="6"/>
  <c r="B2" i="6"/>
  <c r="C35"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S71" i="5"/>
  <c r="S43" i="5"/>
  <c r="C46" i="6" l="1"/>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68" i="6"/>
  <c r="C49" i="6"/>
  <c r="C47" i="6"/>
  <c r="C60" i="6"/>
  <c r="D60" i="6"/>
  <c r="D58" i="6"/>
  <c r="C58" i="6"/>
  <c r="D63" i="6"/>
  <c r="C63" i="6"/>
  <c r="C62" i="6"/>
  <c r="D62" i="6"/>
  <c r="C54" i="6"/>
  <c r="D54" i="6"/>
  <c r="D57" i="6"/>
  <c r="C57" i="6"/>
  <c r="F56" i="6"/>
  <c r="H56" i="6" s="1"/>
  <c r="H55" i="6"/>
  <c r="D59" i="6"/>
  <c r="C59" i="6"/>
  <c r="T17" i="5"/>
  <c r="T16" i="5"/>
  <c r="T12" i="5"/>
  <c r="T8" i="5"/>
  <c r="T15" i="5"/>
  <c r="T11" i="5"/>
  <c r="T7" i="5"/>
  <c r="T14" i="5"/>
  <c r="T10" i="5"/>
  <c r="T13" i="5"/>
  <c r="T9" i="5"/>
  <c r="X13" i="5" l="1"/>
  <c r="X10" i="5"/>
  <c r="D65" i="6"/>
  <c r="X9" i="5"/>
  <c r="X12" i="5"/>
  <c r="X14" i="5"/>
  <c r="X17" i="5"/>
  <c r="D66" i="6"/>
  <c r="C67" i="6"/>
  <c r="X11" i="5"/>
  <c r="X15" i="5"/>
  <c r="X8" i="5"/>
  <c r="X7" i="5"/>
  <c r="G69" i="6"/>
  <c r="H69" i="6" s="1"/>
  <c r="H70" i="6" s="1"/>
  <c r="D2" i="6" s="1"/>
  <c r="X16" i="5"/>
  <c r="D55" i="6"/>
  <c r="C55" i="6"/>
  <c r="D56" i="6"/>
  <c r="C56" i="6"/>
  <c r="S16" i="5"/>
  <c r="S12" i="5"/>
  <c r="S8" i="5"/>
  <c r="S14" i="5"/>
  <c r="S10" i="5"/>
  <c r="S13" i="5"/>
  <c r="S11" i="5"/>
  <c r="S7" i="5"/>
  <c r="S17" i="5"/>
  <c r="S9" i="5"/>
  <c r="S1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<sst xmlns="http://schemas.openxmlformats.org/spreadsheetml/2006/main" count="21956" uniqueCount="15515">
  <si>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</si>
  <si>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</si>
  <si>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</si>
  <si>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</si>
  <si>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</si>
  <si>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</si>
  <si>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</si>
  <si>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</si>
  <si>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</si>
  <si>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</si>
  <si>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</si>
  <si>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</si>
  <si>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</si>
  <si>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</si>
  <si>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</si>
  <si>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</si>
  <si>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</si>
  <si>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</si>
  <si>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</si>
  <si>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</si>
  <si>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</si>
  <si>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</si>
  <si>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</si>
  <si>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</si>
  <si>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</si>
  <si>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</si>
  <si>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</si>
  <si>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</si>
  <si>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</si>
  <si>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</si>
  <si>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</si>
  <si>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</si>
  <si>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</si>
  <si>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</si>
  <si>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</si>
  <si>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</si>
  <si>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</si>
  <si>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</si>
  <si>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</si>
  <si>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</si>
  <si>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</si>
  <si>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</si>
  <si>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</si>
  <si>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</si>
  <si>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</si>
  <si>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</si>
  <si>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</si>
  <si>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</si>
  <si>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</si>
  <si>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</si>
  <si>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</si>
  <si>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</si>
  <si>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</si>
  <si>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</si>
  <si>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</si>
  <si>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</si>
  <si>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</si>
  <si>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</si>
  <si>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</si>
  <si>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</si>
  <si>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</si>
  <si>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</si>
  <si>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</si>
  <si>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</si>
  <si>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</si>
  <si>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</si>
  <si>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</si>
  <si>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</si>
  <si>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</si>
  <si>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</si>
  <si>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</si>
  <si>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</si>
  <si>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</si>
  <si>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</si>
  <si>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</si>
  <si>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</si>
  <si>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</si>
  <si>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</si>
  <si>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</si>
  <si>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</si>
  <si>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</si>
  <si>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</si>
  <si>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</si>
  <si>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</si>
  <si>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</si>
  <si>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</si>
  <si>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</si>
  <si>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</si>
  <si>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</si>
  <si>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</si>
  <si>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</si>
  <si>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</si>
  <si>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</si>
  <si>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</si>
  <si>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</si>
  <si>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</si>
  <si>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</si>
  <si>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</si>
  <si>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</si>
  <si>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</si>
  <si>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</si>
  <si>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</si>
  <si>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</si>
  <si>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</si>
  <si>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</si>
  <si>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</si>
  <si>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</si>
  <si>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</si>
  <si>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</si>
  <si>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</si>
  <si>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</si>
  <si>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</si>
  <si>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</si>
  <si>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</si>
  <si>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</si>
  <si>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</si>
  <si>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</si>
  <si>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</si>
  <si>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</si>
  <si>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</si>
  <si>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</si>
  <si>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</si>
  <si>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</si>
  <si>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</si>
  <si>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</si>
  <si>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</si>
  <si>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</si>
  <si>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</si>
  <si>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</si>
  <si>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</si>
  <si>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</si>
  <si>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</si>
  <si>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</si>
  <si>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</si>
  <si>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</si>
  <si>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</si>
  <si>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</si>
  <si>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</si>
  <si>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</si>
  <si>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</si>
  <si>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</si>
  <si>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</si>
  <si>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</si>
  <si>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</si>
  <si>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</si>
  <si>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</si>
  <si>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</si>
  <si>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</si>
  <si>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</si>
  <si>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</si>
  <si>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</si>
  <si>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</si>
  <si>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</si>
  <si>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</si>
  <si>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</si>
  <si>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</si>
  <si>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</si>
  <si>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</si>
  <si>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</si>
  <si>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</si>
  <si>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</si>
  <si>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</si>
  <si>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</si>
  <si>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</si>
  <si>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</si>
  <si>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</si>
  <si>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</si>
  <si>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</si>
  <si>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</si>
  <si>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</si>
  <si>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</si>
  <si>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</si>
  <si>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</si>
  <si>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</si>
  <si>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</si>
  <si>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</si>
  <si>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</si>
  <si>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</si>
  <si>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</si>
  <si>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</si>
  <si>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</si>
  <si>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</si>
  <si>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</si>
  <si>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</si>
  <si>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</si>
  <si>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</si>
  <si>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</si>
  <si>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</si>
  <si>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</si>
  <si>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</si>
  <si>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</si>
  <si>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</si>
  <si>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</si>
  <si>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</si>
  <si>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</si>
  <si>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</si>
  <si>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</si>
  <si>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</si>
  <si>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</si>
  <si>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</si>
  <si>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</si>
  <si>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</si>
  <si>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</si>
  <si>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</si>
  <si>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</si>
  <si>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</si>
  <si>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</si>
  <si>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</si>
  <si>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</si>
  <si>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</si>
  <si>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</si>
  <si>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</si>
  <si>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</si>
  <si>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</si>
  <si>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</si>
  <si>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</si>
  <si>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</si>
  <si>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</si>
  <si>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</si>
  <si>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</si>
  <si>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</si>
  <si>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</si>
  <si>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</si>
  <si>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</si>
  <si>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</si>
  <si>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</si>
  <si>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</si>
  <si>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</si>
  <si>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</si>
  <si>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</si>
  <si>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</si>
  <si>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</si>
  <si>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</si>
  <si>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</si>
  <si>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</si>
  <si>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</si>
  <si>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</si>
  <si>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</si>
  <si>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</si>
  <si>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</si>
  <si>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</si>
  <si>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</si>
  <si>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</si>
  <si>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</si>
  <si>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</si>
  <si>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</si>
  <si>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</si>
  <si>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</si>
  <si>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</si>
  <si>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</si>
  <si>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</si>
  <si>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</si>
  <si>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</si>
  <si>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</si>
  <si>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</si>
  <si>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</si>
  <si>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</si>
  <si>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</si>
  <si>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</si>
  <si>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</si>
  <si>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</si>
  <si>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</si>
  <si>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</si>
  <si>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</si>
  <si>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</si>
  <si>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</si>
  <si>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</si>
  <si>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</si>
  <si>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</si>
  <si>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</si>
  <si>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</si>
  <si>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</si>
  <si>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</si>
  <si>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</si>
  <si>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</si>
  <si>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</si>
  <si>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</si>
  <si>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</si>
  <si>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</si>
  <si>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</si>
  <si>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</si>
  <si>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</si>
  <si>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</si>
  <si>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</si>
  <si>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</si>
  <si>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</si>
  <si>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</si>
  <si>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</si>
  <si>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</si>
  <si>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</si>
  <si>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</si>
  <si>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</si>
  <si>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</si>
  <si>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</si>
  <si>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</si>
  <si>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</si>
  <si>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</si>
  <si>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</si>
  <si>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</si>
  <si>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</si>
  <si>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</si>
  <si>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</si>
  <si>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</si>
  <si>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</si>
  <si>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</si>
  <si>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</si>
  <si>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</si>
  <si>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</si>
  <si>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</si>
  <si>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</si>
  <si>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</si>
  <si>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</si>
  <si>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</si>
  <si>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</si>
  <si>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</si>
  <si>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</si>
  <si>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</si>
  <si>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</si>
  <si>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</si>
  <si>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</si>
  <si>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</si>
  <si>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</si>
  <si>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</si>
  <si>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</si>
  <si>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</si>
  <si>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</si>
  <si>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</si>
  <si>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</si>
  <si>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</si>
  <si>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</si>
  <si>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</si>
  <si>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</si>
  <si>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</si>
  <si>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</si>
  <si>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</si>
  <si>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</si>
  <si>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</si>
  <si>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</si>
  <si>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</si>
  <si>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</si>
  <si>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</si>
  <si>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</si>
  <si>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</si>
  <si>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</si>
  <si>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</si>
  <si>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</si>
  <si>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</si>
  <si>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</si>
  <si>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</si>
  <si>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</si>
  <si>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</si>
  <si>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</si>
  <si>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</si>
  <si>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</si>
  <si>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</si>
  <si>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</si>
  <si>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</si>
  <si>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</si>
  <si>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</si>
  <si>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</si>
  <si>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</si>
  <si>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</si>
  <si>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</si>
  <si>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</si>
  <si>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</si>
  <si>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</si>
  <si>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</si>
  <si>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</si>
  <si>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</si>
  <si>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</si>
  <si>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</si>
  <si>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</si>
  <si>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</si>
  <si>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</si>
  <si>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</si>
  <si>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</si>
  <si>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</si>
  <si>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</si>
  <si>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</si>
  <si>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</si>
  <si>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</si>
  <si>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</si>
  <si>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</si>
  <si>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</si>
  <si>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</si>
  <si>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</si>
  <si>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</si>
  <si>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</si>
  <si>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</si>
  <si>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</si>
  <si>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</si>
  <si>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</si>
  <si>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</si>
  <si>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</si>
  <si>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</si>
  <si>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</si>
  <si>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</si>
  <si>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</si>
  <si>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</si>
  <si>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</si>
  <si>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</si>
  <si>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</si>
  <si>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</si>
  <si>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</si>
  <si>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</si>
  <si>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</si>
  <si>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</si>
  <si>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</si>
  <si>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</si>
  <si>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</si>
  <si>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</si>
  <si>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</si>
  <si>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</si>
  <si>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</si>
  <si>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</si>
  <si>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</si>
  <si>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</si>
  <si>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</si>
  <si>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</si>
  <si>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</si>
  <si>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</si>
  <si>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</si>
  <si>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</si>
  <si>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</si>
  <si>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</si>
  <si>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</si>
  <si>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</si>
  <si>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</si>
  <si>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</si>
  <si>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</si>
  <si>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</si>
  <si>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</si>
  <si>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</si>
  <si>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</si>
  <si>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</si>
  <si>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</si>
  <si>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</si>
  <si>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</si>
  <si>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</si>
  <si>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</si>
  <si>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</si>
  <si>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</si>
  <si>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</si>
  <si>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</si>
  <si>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</si>
  <si>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</si>
  <si>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</si>
  <si>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</si>
  <si>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</si>
  <si>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</si>
  <si>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</si>
  <si>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</si>
  <si>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</si>
  <si>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</si>
  <si>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</si>
  <si>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</si>
  <si>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</si>
  <si>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</si>
  <si>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</si>
  <si>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</si>
  <si>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</si>
  <si>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</si>
  <si>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</si>
  <si>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</si>
  <si>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</si>
  <si>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</si>
  <si>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</si>
  <si>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</si>
  <si>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</si>
  <si>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</si>
  <si>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</si>
  <si>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</si>
  <si>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</si>
  <si>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</si>
  <si>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</si>
  <si>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</si>
  <si>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</si>
  <si>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</si>
  <si>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</si>
  <si>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</si>
  <si>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</si>
  <si>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</si>
  <si>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</si>
  <si>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</si>
  <si>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</si>
  <si>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</si>
  <si>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</si>
  <si>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</si>
  <si>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</si>
  <si>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</si>
  <si>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</si>
  <si>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</si>
  <si>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</si>
  <si>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</si>
  <si>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</si>
  <si>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</si>
  <si>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</si>
  <si>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</si>
  <si>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</si>
  <si>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</si>
  <si>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</si>
  <si>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</si>
  <si>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</si>
  <si>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</si>
  <si>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</si>
  <si>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</si>
  <si>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</si>
  <si>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</si>
  <si>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</si>
  <si>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</si>
  <si>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</si>
  <si>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</si>
  <si>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</si>
  <si>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</si>
  <si>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</si>
  <si>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</si>
  <si>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</si>
  <si>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</si>
  <si>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</si>
  <si>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</si>
  <si>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</si>
  <si>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</si>
  <si>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</si>
  <si>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</si>
  <si>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</si>
  <si>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</si>
  <si>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</si>
  <si>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</si>
  <si>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</si>
  <si>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</si>
  <si>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</si>
  <si>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</si>
  <si>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</si>
  <si>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</si>
  <si>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</si>
  <si>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</si>
  <si>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</si>
  <si>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</si>
  <si>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</si>
  <si>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</si>
  <si>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</si>
  <si>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</si>
  <si>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</si>
  <si>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</si>
  <si>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</si>
  <si>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</si>
  <si>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</si>
  <si>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</si>
  <si>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</si>
  <si>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</si>
  <si>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</si>
  <si>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</si>
  <si>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</si>
  <si>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</si>
  <si>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</si>
  <si>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</si>
  <si>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</si>
  <si>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</si>
  <si>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</si>
  <si>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</si>
  <si>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</si>
  <si>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</si>
  <si>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</si>
  <si>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</si>
  <si>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</si>
  <si>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</si>
  <si>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</si>
  <si>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</si>
  <si>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</si>
  <si>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</si>
  <si>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</si>
  <si>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</si>
  <si>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</si>
  <si>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</si>
  <si>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</si>
  <si>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</si>
  <si>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</si>
  <si>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</si>
  <si>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</si>
  <si>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</si>
  <si>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</si>
  <si>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</si>
  <si>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</si>
  <si>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</si>
  <si>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</si>
  <si>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</si>
  <si>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</si>
  <si>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</si>
  <si>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</si>
  <si>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</si>
  <si>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</si>
  <si>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</si>
  <si>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</si>
  <si>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</si>
  <si>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</si>
  <si>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</si>
  <si>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</si>
  <si>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</si>
  <si>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</si>
  <si>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</si>
  <si>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</si>
  <si>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</si>
  <si>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</si>
  <si>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</si>
  <si>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</si>
  <si>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</si>
  <si>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</si>
  <si>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</si>
  <si>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</si>
  <si>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</si>
  <si>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</si>
  <si>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</si>
  <si>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</si>
  <si>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</si>
  <si>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</si>
  <si>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</si>
  <si>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</si>
  <si>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</si>
  <si>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</si>
  <si>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</si>
  <si>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</si>
  <si>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</si>
  <si>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</si>
  <si>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</si>
  <si>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</si>
  <si>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</si>
  <si>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</si>
  <si>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</si>
  <si>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</si>
  <si>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</si>
  <si>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</si>
  <si>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</si>
  <si>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</si>
  <si>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</si>
  <si>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</si>
  <si>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</si>
  <si>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</si>
  <si>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</si>
  <si>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</si>
  <si>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</si>
  <si>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</si>
  <si>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</si>
  <si>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</si>
  <si>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</si>
  <si>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</si>
  <si>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</si>
  <si>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</si>
  <si>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</si>
  <si>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</si>
  <si>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</si>
  <si>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</si>
  <si>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</si>
  <si>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</si>
  <si>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</si>
  <si>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</si>
  <si>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</si>
  <si>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</si>
  <si>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</si>
  <si>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</si>
  <si>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</si>
  <si>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</si>
  <si>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</si>
  <si>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</si>
  <si>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</si>
  <si>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</si>
  <si>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</si>
  <si>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</si>
  <si>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</si>
  <si>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</si>
  <si>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</si>
  <si>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</si>
  <si>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</si>
  <si>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</si>
  <si>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</si>
  <si>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</si>
  <si>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</si>
  <si>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</si>
  <si>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</si>
  <si>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</si>
  <si>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</si>
  <si>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</si>
  <si>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</si>
  <si>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</si>
  <si>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</si>
  <si>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</si>
  <si>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</si>
  <si>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</si>
  <si>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</si>
  <si>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</si>
  <si>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</si>
  <si>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</si>
  <si>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</si>
  <si>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</si>
  <si>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</si>
  <si>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</si>
  <si>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</si>
  <si>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</si>
  <si>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</si>
  <si>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</si>
  <si>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</si>
  <si>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</si>
  <si>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</si>
  <si>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</si>
  <si>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</si>
  <si>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</si>
  <si>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</si>
  <si>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</si>
  <si>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</si>
  <si>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</si>
  <si>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</si>
  <si>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</si>
  <si>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</si>
  <si>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</si>
  <si>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</si>
  <si>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</si>
  <si>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</si>
  <si>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</si>
  <si>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</si>
  <si>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</si>
  <si>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</si>
  <si>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</si>
  <si>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</si>
  <si>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</si>
  <si>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</si>
  <si>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</si>
  <si>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</si>
  <si>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</si>
  <si>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</si>
  <si>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</si>
  <si>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</si>
  <si>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</si>
  <si>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</si>
  <si>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</si>
  <si>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</si>
  <si>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</si>
  <si>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</si>
  <si>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</si>
  <si>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</si>
  <si>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</si>
  <si>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</si>
  <si>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</si>
  <si>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</si>
  <si>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</si>
  <si>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</si>
  <si>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</si>
  <si>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</si>
  <si>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</si>
  <si>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</si>
  <si>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</si>
  <si>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</si>
  <si>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</si>
  <si>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</si>
  <si>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</si>
  <si>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</si>
  <si>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</si>
  <si>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</si>
  <si>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</si>
  <si>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</si>
  <si>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</si>
  <si>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</si>
  <si>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</si>
  <si>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</si>
  <si>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</si>
  <si>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</si>
  <si>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</si>
  <si>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</si>
  <si>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</si>
  <si>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</si>
  <si>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</si>
  <si>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</si>
  <si>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</si>
  <si>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</si>
  <si>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</si>
  <si>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</si>
  <si>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</si>
  <si>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</si>
  <si>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</si>
  <si>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</si>
  <si>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</si>
  <si>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</si>
  <si>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</si>
  <si>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</si>
  <si>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</si>
  <si>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</si>
  <si>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</si>
  <si>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</si>
  <si>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</si>
  <si>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</si>
  <si>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</si>
  <si>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</si>
  <si>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</si>
  <si>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</si>
  <si>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</si>
  <si>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</si>
  <si>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</si>
  <si>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</si>
  <si>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</si>
  <si>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</si>
  <si>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</si>
  <si>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</si>
  <si>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</si>
  <si>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</si>
  <si>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</si>
  <si>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</si>
  <si>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</si>
  <si>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</si>
  <si>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</si>
  <si>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</si>
  <si>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</si>
  <si>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</si>
  <si>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</si>
  <si>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</si>
  <si>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</si>
  <si>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</si>
  <si>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</si>
  <si>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</si>
  <si>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</si>
  <si>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</si>
  <si>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</si>
  <si>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</si>
  <si>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</si>
  <si>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</si>
  <si>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</si>
  <si>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</si>
  <si>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</si>
  <si>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</si>
  <si>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</si>
  <si>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</si>
  <si>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</si>
  <si>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</si>
  <si>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</si>
  <si>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</si>
  <si>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</si>
  <si>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</si>
  <si>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</si>
  <si>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</si>
  <si>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</si>
  <si>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</si>
  <si>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</si>
  <si>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</si>
  <si>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</si>
  <si>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</si>
  <si>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</si>
  <si>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</si>
  <si>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</si>
  <si>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</si>
  <si>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</si>
  <si>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</si>
  <si>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</si>
  <si>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</si>
  <si>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</si>
  <si>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</si>
  <si>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</si>
  <si>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</si>
  <si>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</si>
  <si>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</si>
  <si>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</si>
  <si>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</si>
  <si>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</si>
  <si>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</si>
  <si>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</si>
  <si>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</si>
  <si>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</si>
  <si>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</si>
  <si>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</si>
  <si>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</si>
  <si>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</si>
  <si>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</si>
  <si>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</si>
  <si>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</si>
  <si>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</si>
  <si>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</si>
  <si>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</si>
  <si>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</si>
  <si>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</si>
  <si>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</si>
  <si>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</si>
  <si>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</si>
  <si>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</si>
  <si>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</si>
  <si>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</si>
  <si>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</si>
  <si>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</si>
  <si>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</si>
  <si>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</si>
  <si>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</si>
  <si>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</si>
  <si>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</si>
  <si>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</si>
  <si>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</si>
  <si>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</si>
  <si>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</si>
  <si>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</si>
  <si>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</si>
  <si>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</si>
  <si>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</si>
  <si>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</si>
  <si>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</si>
  <si>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</si>
  <si>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</si>
  <si>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</si>
  <si>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</si>
  <si>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</si>
  <si>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</si>
  <si>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</si>
  <si>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</si>
  <si>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</si>
  <si>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</si>
  <si>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</si>
  <si>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</si>
  <si>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</si>
  <si>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</si>
  <si>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</si>
  <si>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</si>
  <si>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</si>
  <si>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</si>
  <si>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</si>
  <si>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</si>
  <si>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</si>
  <si>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</si>
  <si>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</si>
  <si>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</si>
  <si>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</si>
  <si>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</si>
  <si>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</si>
  <si>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</si>
  <si>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</si>
  <si>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</si>
  <si>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</si>
  <si>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</si>
  <si>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</si>
  <si>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</si>
  <si>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</si>
  <si>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</si>
  <si>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</si>
  <si>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</si>
  <si>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</si>
  <si>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</si>
  <si>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</si>
  <si>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</si>
  <si>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</si>
  <si>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</si>
  <si>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</si>
  <si>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</si>
  <si>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</si>
  <si>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</si>
  <si>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</si>
  <si>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</si>
  <si>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</si>
  <si>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</si>
  <si>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</si>
  <si>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</si>
  <si>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</si>
  <si>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</si>
  <si>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</si>
  <si>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</si>
  <si>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</si>
  <si>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</si>
  <si>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</si>
  <si>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</si>
  <si>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</si>
  <si>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</si>
  <si>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</si>
  <si>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</si>
  <si>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</si>
  <si>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</si>
  <si>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</si>
  <si>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</si>
  <si>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</si>
  <si>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</si>
  <si>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</si>
  <si>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</si>
  <si>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</si>
  <si>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</si>
  <si>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</si>
  <si>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</si>
  <si>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</si>
  <si>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</si>
  <si>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</si>
  <si>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</si>
  <si>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</si>
  <si>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</si>
  <si>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</si>
  <si>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</si>
  <si>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</si>
  <si>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</si>
  <si>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</si>
  <si>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</si>
  <si>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</si>
  <si>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</si>
  <si>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</si>
  <si>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</si>
  <si>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</si>
  <si>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</si>
  <si>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</si>
  <si>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</si>
  <si>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</si>
  <si>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</si>
  <si>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</si>
  <si>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</si>
  <si>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</si>
  <si>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</si>
  <si>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</si>
  <si>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</si>
  <si>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</si>
  <si>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</si>
  <si>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</si>
  <si>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</si>
  <si>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</si>
  <si>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</si>
  <si>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</si>
  <si>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</si>
  <si>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</si>
  <si>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</si>
  <si>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</si>
  <si>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</si>
  <si>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</si>
  <si>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</si>
  <si>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</si>
  <si>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</si>
  <si>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</si>
  <si>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</si>
  <si>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</si>
  <si>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</si>
  <si>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</si>
  <si>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</si>
  <si>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</si>
  <si>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</si>
  <si>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</si>
  <si>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</si>
  <si>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</si>
  <si>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</si>
  <si>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</si>
  <si>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</si>
  <si>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</si>
  <si>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</si>
  <si>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</si>
  <si>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</si>
  <si>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</si>
  <si>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</si>
  <si>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</si>
  <si>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</si>
  <si>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</si>
  <si>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</si>
  <si>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</si>
  <si>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</si>
  <si>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</si>
  <si>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</si>
  <si>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</si>
  <si>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</si>
  <si>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</si>
  <si>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</si>
  <si>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</si>
  <si>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</si>
  <si>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</si>
  <si>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</si>
  <si>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</si>
  <si>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</si>
  <si>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</si>
  <si>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</si>
  <si>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</si>
  <si>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</si>
  <si>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</si>
  <si>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</si>
  <si>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</si>
  <si>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</si>
  <si>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</si>
  <si>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</si>
  <si>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</si>
  <si>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</si>
  <si>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</si>
  <si>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</si>
  <si>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</si>
  <si>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</si>
  <si>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</si>
  <si>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</si>
  <si>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</si>
  <si>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</si>
  <si>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</si>
  <si>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</si>
  <si>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</si>
  <si>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</si>
  <si>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</si>
  <si>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</si>
  <si>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</si>
  <si>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</si>
  <si>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</si>
  <si>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</si>
  <si>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</si>
  <si>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</si>
  <si>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</si>
  <si>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</si>
  <si>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</si>
  <si>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</si>
  <si>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</si>
  <si>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</si>
  <si>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</si>
  <si>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</si>
  <si>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</si>
  <si>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</si>
  <si>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</si>
  <si>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</si>
  <si>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</si>
  <si>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</si>
  <si>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</si>
  <si>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</si>
  <si>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</si>
  <si>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</si>
  <si>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</si>
  <si>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</si>
  <si>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</si>
  <si>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</si>
  <si>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</si>
  <si>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</si>
  <si>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</si>
  <si>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</si>
  <si>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</si>
  <si>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</si>
  <si>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</si>
  <si>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</si>
  <si>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</si>
  <si>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</si>
  <si>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</si>
  <si>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</si>
  <si>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</si>
  <si>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</si>
  <si>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</si>
  <si>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</si>
  <si>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</si>
  <si>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</si>
  <si>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</si>
  <si>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</si>
  <si>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</si>
  <si>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</si>
  <si>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</si>
  <si>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</si>
  <si>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</si>
  <si>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</si>
  <si>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</si>
  <si>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</si>
  <si>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</si>
  <si>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</si>
  <si>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</si>
  <si>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</si>
  <si>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</si>
  <si>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</si>
  <si>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</si>
  <si>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</si>
  <si>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</si>
  <si>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</si>
  <si>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</si>
  <si>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</si>
  <si>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</si>
  <si>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</si>
  <si>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</si>
  <si>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</si>
  <si>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</si>
  <si>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</si>
  <si>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</si>
  <si>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</si>
  <si>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</si>
  <si>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</si>
  <si>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</si>
  <si>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</si>
  <si>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</si>
  <si>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</si>
  <si>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</si>
  <si>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</si>
  <si>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</si>
  <si>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</si>
  <si>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</si>
  <si>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</si>
  <si>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</si>
  <si>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</si>
  <si>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</si>
  <si>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</si>
  <si>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</si>
  <si>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</si>
  <si>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</si>
  <si>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</si>
  <si>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</si>
  <si>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</si>
  <si>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</si>
  <si>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</si>
  <si>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</si>
  <si>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</si>
  <si>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</si>
  <si>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</si>
  <si>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</si>
  <si>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</si>
  <si>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</si>
  <si>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</si>
  <si>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</si>
  <si>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</si>
  <si>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</si>
  <si>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</si>
  <si>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</si>
  <si>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</si>
  <si>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</si>
  <si>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</si>
  <si>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</si>
  <si>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</si>
  <si>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</si>
  <si>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</si>
  <si>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</si>
  <si>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</si>
  <si>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</si>
  <si>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</si>
  <si>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</si>
  <si>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</si>
  <si>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</si>
  <si>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</si>
  <si>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</si>
  <si>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</si>
  <si>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</si>
  <si>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</si>
  <si>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</si>
  <si>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</si>
  <si>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</si>
  <si>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</si>
  <si>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</si>
  <si>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</si>
  <si>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</si>
  <si>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</si>
  <si>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</si>
  <si>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</si>
  <si>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</si>
  <si>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</si>
  <si>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</si>
  <si>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</si>
  <si>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</si>
  <si>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</si>
  <si>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</si>
  <si>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</si>
  <si>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</si>
  <si>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</si>
  <si>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</si>
  <si>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</si>
  <si>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</si>
  <si>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</si>
  <si>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</si>
  <si>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</si>
  <si>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</si>
  <si>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</si>
  <si>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</si>
  <si>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</si>
  <si>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</si>
  <si>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</si>
  <si>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</si>
  <si>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</si>
  <si>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</si>
  <si>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</si>
  <si>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</si>
  <si>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</si>
  <si>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</si>
  <si>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</si>
  <si>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</si>
  <si>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</si>
  <si>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</si>
  <si>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</si>
  <si>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</si>
  <si>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</si>
  <si>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</si>
  <si>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</si>
  <si>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</si>
  <si>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</si>
  <si>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</si>
  <si>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</si>
  <si>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</si>
  <si>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</si>
  <si>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</si>
  <si>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</si>
  <si>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</si>
  <si>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</si>
  <si>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</si>
  <si>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</si>
  <si>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</si>
  <si>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</si>
  <si>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</si>
  <si>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</si>
  <si>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</si>
  <si>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</si>
  <si>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</si>
  <si>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</si>
  <si>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</si>
  <si>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</si>
  <si>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</si>
  <si>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</si>
  <si>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</si>
  <si>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</si>
  <si>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</si>
  <si>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</si>
  <si>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</si>
  <si>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</si>
  <si>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</si>
  <si>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</si>
  <si>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</si>
  <si>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</si>
  <si>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</si>
  <si>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</si>
  <si>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</si>
  <si>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</si>
  <si>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</si>
  <si>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</si>
  <si>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</si>
  <si>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</si>
  <si>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</si>
  <si>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</si>
  <si>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</si>
  <si>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</si>
  <si>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</si>
  <si>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</si>
  <si>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</si>
  <si>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</si>
  <si>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</si>
  <si>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</si>
  <si>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</si>
  <si>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</si>
  <si>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</si>
  <si>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</si>
  <si>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</si>
  <si>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</si>
  <si>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</si>
  <si>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</si>
  <si>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</si>
  <si>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</si>
  <si>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</si>
  <si>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</si>
  <si>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</si>
  <si>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</si>
  <si>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</si>
  <si>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</si>
  <si>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</si>
  <si>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</si>
  <si>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</si>
  <si>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</si>
  <si>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</si>
  <si>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</si>
  <si>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</si>
  <si>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</si>
  <si>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</si>
  <si>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</si>
  <si>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</si>
  <si>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</si>
  <si>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</si>
  <si>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</si>
  <si>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</si>
  <si>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</si>
  <si>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</si>
  <si>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</si>
  <si>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</si>
  <si>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</si>
  <si>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</si>
  <si>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</si>
  <si>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</si>
  <si>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</si>
  <si>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</si>
  <si>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</si>
  <si>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</si>
  <si>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</si>
  <si>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</si>
  <si>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</si>
  <si>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</si>
  <si>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</si>
  <si>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</si>
  <si>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</si>
  <si>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</si>
  <si>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</si>
  <si>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</si>
  <si>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</si>
  <si>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</si>
  <si>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</si>
  <si>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</si>
  <si>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</si>
  <si>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</si>
  <si>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</si>
  <si>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</si>
  <si>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</si>
  <si>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</si>
  <si>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</si>
  <si>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</si>
  <si>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</si>
  <si>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</si>
  <si>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</si>
  <si>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</si>
  <si>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</si>
  <si>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</si>
  <si>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</si>
  <si>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</si>
  <si>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</si>
  <si>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</si>
  <si>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</si>
  <si>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</si>
  <si>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</si>
  <si>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</si>
  <si>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</si>
  <si>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</si>
  <si>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</si>
  <si>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</si>
  <si>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</si>
  <si>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</si>
  <si>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</si>
  <si>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</si>
  <si>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</si>
  <si>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</si>
  <si>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</si>
  <si>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</si>
  <si>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</si>
  <si>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</si>
  <si>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</si>
  <si>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</si>
  <si>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</si>
  <si>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</si>
  <si>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</si>
  <si>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</si>
  <si>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</si>
  <si>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</si>
  <si>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</si>
  <si>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</si>
  <si>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</si>
  <si>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</si>
  <si>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</si>
  <si>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</si>
  <si>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</si>
  <si>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</si>
  <si>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</si>
  <si>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</si>
  <si>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</si>
  <si>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</si>
  <si>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</si>
  <si>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</si>
  <si>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</si>
  <si>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</si>
  <si>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</si>
  <si>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</si>
  <si>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</si>
  <si>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</si>
  <si>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</si>
  <si>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</si>
  <si>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</si>
  <si>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</si>
  <si>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</si>
  <si>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</si>
  <si>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</si>
  <si>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</si>
  <si>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</si>
  <si>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</si>
  <si>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</si>
  <si>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</si>
  <si>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</si>
  <si>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</si>
  <si>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</si>
  <si>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</si>
  <si>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</si>
  <si>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</si>
  <si>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</si>
  <si>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</si>
  <si>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</si>
  <si>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</si>
  <si>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</si>
  <si>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</si>
  <si>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</si>
  <si>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</si>
  <si>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</si>
  <si>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</si>
  <si>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</si>
  <si>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</si>
  <si>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</si>
  <si>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</si>
  <si>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</si>
  <si>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</si>
  <si>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</si>
  <si>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</si>
  <si>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</si>
  <si>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</si>
  <si>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</si>
  <si>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</si>
  <si>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</si>
  <si>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</si>
  <si>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</si>
  <si>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</si>
  <si>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</si>
  <si>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</si>
  <si>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</si>
  <si>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</si>
  <si>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</si>
  <si>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</si>
  <si>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</si>
  <si>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</si>
  <si>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</si>
  <si>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</si>
  <si>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</si>
  <si>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</si>
  <si>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</si>
  <si>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</si>
  <si>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</si>
  <si>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</si>
  <si>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</si>
  <si>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</si>
  <si>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</si>
  <si>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</si>
  <si>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</si>
  <si>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</si>
  <si>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</si>
  <si>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</si>
  <si>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</si>
  <si>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</si>
  <si>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</si>
  <si>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</si>
  <si>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</si>
  <si>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</si>
  <si>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</si>
  <si>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</si>
  <si>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</si>
  <si>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</si>
  <si>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</si>
  <si>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</si>
  <si>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</si>
  <si>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</si>
  <si>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</si>
  <si>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</si>
  <si>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</si>
  <si>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</si>
  <si>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</si>
  <si>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</si>
  <si>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</si>
  <si>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</si>
  <si>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</si>
  <si>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</si>
  <si>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</si>
  <si>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</si>
  <si>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</si>
  <si>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</si>
  <si>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</si>
  <si>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</si>
  <si>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</si>
  <si>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</si>
  <si>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</si>
  <si>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</si>
  <si>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</si>
  <si>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</si>
  <si>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</si>
  <si>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</si>
  <si>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</si>
  <si>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</si>
  <si>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</si>
  <si>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</si>
  <si>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</si>
  <si>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</si>
  <si>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</si>
  <si>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</si>
  <si>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</si>
  <si>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</si>
  <si>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</si>
  <si>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</si>
  <si>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</si>
  <si>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</si>
  <si>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</si>
  <si>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</si>
  <si>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</si>
  <si>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</si>
  <si>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</si>
  <si>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</si>
  <si>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</si>
  <si>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</si>
  <si>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</si>
  <si>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</si>
  <si>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</si>
  <si>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</si>
  <si>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</si>
  <si>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</si>
  <si>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</si>
  <si>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</si>
  <si>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</si>
  <si>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</si>
  <si>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</si>
  <si>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</si>
  <si>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</si>
  <si>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</si>
  <si>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</si>
  <si>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</si>
  <si>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</si>
  <si>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</si>
  <si>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</si>
  <si>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</si>
  <si>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</si>
  <si>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</si>
  <si>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</si>
  <si>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</si>
  <si>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</si>
  <si>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</si>
  <si>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</si>
  <si>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</si>
  <si>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</si>
  <si>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</si>
  <si>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</si>
  <si>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</si>
  <si>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</si>
  <si>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</si>
  <si>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</si>
  <si>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</si>
  <si>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</si>
  <si>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</si>
  <si>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</si>
  <si>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</si>
  <si>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</si>
  <si>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</si>
  <si>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</si>
  <si>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</si>
  <si>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</si>
  <si>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</si>
  <si>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</si>
  <si>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</si>
  <si>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</si>
  <si>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</si>
  <si>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</si>
  <si>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</si>
  <si>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</si>
  <si>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</si>
  <si>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</si>
  <si>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</si>
  <si>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</si>
  <si>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</si>
  <si>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</si>
  <si>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</si>
  <si>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</si>
  <si>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</si>
  <si>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</si>
  <si>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</si>
  <si>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</si>
  <si>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</si>
  <si>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</si>
  <si>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</si>
  <si>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</si>
  <si>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</si>
  <si>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</si>
  <si>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</si>
  <si>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</si>
  <si>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</si>
  <si>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</si>
  <si>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</si>
  <si>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</si>
  <si>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</si>
  <si>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</si>
  <si>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</si>
  <si>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</si>
  <si>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</si>
  <si>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</si>
  <si>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</si>
  <si>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</si>
  <si>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</si>
  <si>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</si>
  <si>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</si>
  <si>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</si>
  <si>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</si>
  <si>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</si>
  <si>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</si>
  <si>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</si>
  <si>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</si>
  <si>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</si>
  <si>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</si>
  <si>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</si>
  <si>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</si>
  <si>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</si>
  <si>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</si>
  <si>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</si>
  <si>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</si>
  <si>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</si>
  <si>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</si>
  <si>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</si>
  <si>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</si>
  <si>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</si>
  <si>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</si>
  <si>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</si>
  <si>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</si>
  <si>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</si>
  <si>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</si>
  <si>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</si>
  <si>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</si>
  <si>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</si>
  <si>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</si>
  <si>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</si>
  <si>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</si>
  <si>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</si>
  <si>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</si>
  <si>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</si>
  <si>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</si>
  <si>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</si>
  <si>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</si>
  <si>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</si>
  <si>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</si>
  <si>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</si>
  <si>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</si>
  <si>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</si>
  <si>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</si>
  <si>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</si>
  <si>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</si>
  <si>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</si>
  <si>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</si>
  <si>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</si>
  <si>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</si>
  <si>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</si>
  <si>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</si>
  <si>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</si>
  <si>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</si>
  <si>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</si>
  <si>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</si>
  <si>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</si>
  <si>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</si>
  <si>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</si>
  <si>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</si>
  <si>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</si>
  <si>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</si>
  <si>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</si>
  <si>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</si>
  <si>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</si>
  <si>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</si>
  <si>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</si>
  <si>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</si>
  <si>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</si>
  <si>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</si>
  <si>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</si>
  <si>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</si>
  <si>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</si>
  <si>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</si>
  <si>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</si>
  <si>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</si>
  <si>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</si>
  <si>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</si>
  <si>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</si>
  <si>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</si>
  <si>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</si>
  <si>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</si>
  <si>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</si>
  <si>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</si>
  <si>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</si>
  <si>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</si>
  <si>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</si>
  <si>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</si>
  <si>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</si>
  <si>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</si>
  <si>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</si>
  <si>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</si>
  <si>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</si>
  <si>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</si>
  <si>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</si>
  <si>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</si>
  <si>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</si>
  <si>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</si>
  <si>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</si>
  <si>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</si>
  <si>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</si>
  <si>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</si>
  <si>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</si>
  <si>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</si>
  <si>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</si>
  <si>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</si>
  <si>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</si>
  <si>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</si>
  <si>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</si>
  <si>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</si>
  <si>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</si>
  <si>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</si>
  <si>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</si>
  <si>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</si>
  <si>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</si>
  <si>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</si>
  <si>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</si>
  <si>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</si>
  <si>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</si>
  <si>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</si>
  <si>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</si>
  <si>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</si>
  <si>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</si>
  <si>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</si>
  <si>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</si>
  <si>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</si>
  <si>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</si>
  <si>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</si>
  <si>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</si>
  <si>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</si>
  <si>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</si>
  <si>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</si>
  <si>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</si>
  <si>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</si>
  <si>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</si>
  <si>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</si>
  <si>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</si>
  <si>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</si>
  <si>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</si>
  <si>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</si>
  <si>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</si>
  <si>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</si>
  <si>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</si>
  <si>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</si>
  <si>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</si>
  <si>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</si>
  <si>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</si>
  <si>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</si>
  <si>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</si>
  <si>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</si>
  <si>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</si>
  <si>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</si>
  <si>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</si>
  <si>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</si>
  <si>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</si>
  <si>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</si>
  <si>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</si>
  <si>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</si>
  <si>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</si>
  <si>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</si>
  <si>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</si>
  <si>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</si>
  <si>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</si>
  <si>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</si>
  <si>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</si>
  <si>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</si>
  <si>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</si>
  <si>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</si>
  <si>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</si>
  <si>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</si>
  <si>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</si>
  <si>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</si>
  <si>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</si>
  <si>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</si>
  <si>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</si>
  <si>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</si>
  <si>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</si>
  <si>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</si>
  <si>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</si>
  <si>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</si>
  <si>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</si>
  <si>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</si>
  <si>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</si>
  <si>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</si>
  <si>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</si>
  <si>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</si>
  <si>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</si>
  <si>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</si>
  <si>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</si>
  <si>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</si>
  <si>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</si>
  <si>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</si>
  <si>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</si>
  <si>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</si>
  <si>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</si>
  <si>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</si>
  <si>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</si>
  <si>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</si>
  <si>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</si>
  <si>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</si>
  <si>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</si>
  <si>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</si>
  <si>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</si>
  <si>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</si>
  <si>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</si>
  <si>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</si>
  <si>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</si>
  <si>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</si>
  <si>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</si>
  <si>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</si>
  <si>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</si>
  <si>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</si>
  <si>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</si>
  <si>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</si>
  <si>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</si>
  <si>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</si>
  <si>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</si>
  <si>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</si>
  <si>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</si>
  <si>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</si>
  <si>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</si>
  <si>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</si>
  <si>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</si>
  <si>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</si>
  <si>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</si>
  <si>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</si>
  <si>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</si>
  <si>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</si>
  <si>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</si>
  <si>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</si>
  <si>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</si>
  <si>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</si>
  <si>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</si>
  <si>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</si>
  <si>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</si>
  <si>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</si>
  <si>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</si>
  <si>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</si>
  <si>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</si>
  <si>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</si>
  <si>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</si>
  <si>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</si>
  <si>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</si>
  <si>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</si>
  <si>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</si>
  <si>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</si>
  <si>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</si>
  <si>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</si>
  <si>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</si>
  <si>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</si>
  <si>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</si>
  <si>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</si>
  <si>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</si>
  <si>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</si>
  <si>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</si>
  <si>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</si>
  <si>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</si>
  <si>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</si>
  <si>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</si>
  <si>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</si>
  <si>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</si>
  <si>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</si>
  <si>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</si>
  <si>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</si>
  <si>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</si>
  <si>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</si>
  <si>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</si>
  <si>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</si>
  <si>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</si>
  <si>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</si>
  <si>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</si>
  <si>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</si>
  <si>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</si>
  <si>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</si>
  <si>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</si>
  <si>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</si>
  <si>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</si>
  <si>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</si>
  <si>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</si>
  <si>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</si>
  <si>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</si>
  <si>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</si>
  <si>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</si>
  <si>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</si>
  <si>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</si>
  <si>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</si>
  <si>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</si>
  <si>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</si>
  <si>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</si>
  <si>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</si>
  <si>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</si>
  <si>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</si>
  <si>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</si>
  <si>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</si>
  <si>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</si>
  <si>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</si>
  <si>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</si>
  <si>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</si>
  <si>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</si>
  <si>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</si>
  <si>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</si>
  <si>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</si>
  <si>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</si>
  <si>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</si>
  <si>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</si>
  <si>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</si>
  <si>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</si>
  <si>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</si>
  <si>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</si>
  <si>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</si>
  <si>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</si>
  <si>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</si>
  <si>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</si>
  <si>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</si>
  <si>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</si>
  <si>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</si>
  <si>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</si>
  <si>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</si>
  <si>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</si>
  <si>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</si>
  <si>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</si>
  <si>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</si>
  <si>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</si>
  <si>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</si>
  <si>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</si>
  <si>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</si>
  <si>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</si>
  <si>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</si>
  <si>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</si>
  <si>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</si>
  <si>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</si>
  <si>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</si>
  <si>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</si>
  <si>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</si>
  <si>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</si>
  <si>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</si>
  <si>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</si>
  <si>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</si>
  <si>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</si>
  <si>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</si>
  <si>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</si>
  <si>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</si>
  <si>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</si>
  <si>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</si>
  <si>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</si>
  <si>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</si>
  <si>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</si>
  <si>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</si>
  <si>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</si>
  <si>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</si>
  <si>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</si>
  <si>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</si>
  <si>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</si>
  <si>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</si>
  <si>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</si>
  <si>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</si>
  <si>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</si>
  <si>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</si>
  <si>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</si>
  <si>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</si>
  <si>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</si>
  <si>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</si>
  <si>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</si>
  <si>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</si>
  <si>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</si>
  <si>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</si>
  <si>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</si>
  <si>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</si>
  <si>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</si>
  <si>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</si>
  <si>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</si>
  <si>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</si>
  <si>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</si>
  <si>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</si>
  <si>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</si>
  <si>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</si>
  <si>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</si>
  <si>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</si>
  <si>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</si>
  <si>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</si>
  <si>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</si>
  <si>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</si>
  <si>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</si>
  <si>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</si>
  <si>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</si>
  <si>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</si>
  <si>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</si>
  <si>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</si>
  <si>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</si>
  <si>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</si>
  <si>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</si>
  <si>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</si>
  <si>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</si>
  <si>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</si>
  <si>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</si>
  <si>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</si>
  <si>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</si>
  <si>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</si>
  <si>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</si>
  <si>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</si>
  <si>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</si>
  <si>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</si>
  <si>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</si>
  <si>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</si>
  <si>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</si>
  <si>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</si>
  <si>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</si>
  <si>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</si>
  <si>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</si>
  <si>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</si>
  <si>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</si>
  <si>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</si>
  <si>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</si>
  <si>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</si>
  <si>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</si>
  <si>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</si>
  <si>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</si>
  <si>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</si>
  <si>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</si>
  <si>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</si>
  <si>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</si>
  <si>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</si>
  <si>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</si>
  <si>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</si>
  <si>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</si>
  <si>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</si>
  <si>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</si>
  <si>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</si>
  <si>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</si>
  <si>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</si>
  <si>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</si>
  <si>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</si>
  <si>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</si>
  <si>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</si>
  <si>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</si>
  <si>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</si>
  <si>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</si>
  <si>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</si>
  <si>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</si>
  <si>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</si>
  <si>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</si>
  <si>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</si>
  <si>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</si>
  <si>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</si>
  <si>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</si>
  <si>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</si>
  <si>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</si>
  <si>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</si>
  <si>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</si>
  <si>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</si>
  <si>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</si>
  <si>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</si>
  <si>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</si>
  <si>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</si>
  <si>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</si>
  <si>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</si>
  <si>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</si>
  <si>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</si>
  <si>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</si>
  <si>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</si>
  <si>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</si>
  <si>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</si>
  <si>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</si>
  <si>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</si>
  <si>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</si>
  <si>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</si>
  <si>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</si>
  <si>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</si>
  <si>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</si>
  <si>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</si>
  <si>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</si>
  <si>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</si>
  <si>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</si>
  <si>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</si>
  <si>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</si>
  <si>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</si>
  <si>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</si>
  <si>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</si>
  <si>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</si>
  <si>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</si>
  <si>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</si>
  <si>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</si>
  <si>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</si>
  <si>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</si>
  <si>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</si>
  <si>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</si>
  <si>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</si>
  <si>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</si>
  <si>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</si>
  <si>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</si>
  <si>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</si>
  <si>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</si>
  <si>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</si>
  <si>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</si>
  <si>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</si>
  <si>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</si>
  <si>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</si>
  <si>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</si>
  <si>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</si>
  <si>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</si>
  <si>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</si>
  <si>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</si>
  <si>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</si>
  <si>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</si>
  <si>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</si>
  <si>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</si>
  <si>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</si>
  <si>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</si>
  <si>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</si>
  <si>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</si>
  <si>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</si>
  <si>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</si>
  <si>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</si>
  <si>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</si>
  <si>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</si>
  <si>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</si>
  <si>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</si>
  <si>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</si>
  <si>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</si>
  <si>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</si>
  <si>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</si>
  <si>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</si>
  <si>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</si>
  <si>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</si>
  <si>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</si>
  <si>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</si>
  <si>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</si>
  <si>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</si>
  <si>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</si>
  <si>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</si>
  <si>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</si>
  <si>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</si>
  <si>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</si>
  <si>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</si>
  <si>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</si>
  <si>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</si>
  <si>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</si>
  <si>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</si>
  <si>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</si>
  <si>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</si>
  <si>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</si>
  <si>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</si>
  <si>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</si>
  <si>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</si>
  <si>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</si>
  <si>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</si>
  <si>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</si>
  <si>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</si>
  <si>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</si>
  <si>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</si>
  <si>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</si>
  <si>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</si>
  <si>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</si>
  <si>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</si>
  <si>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</si>
  <si>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</si>
  <si>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</si>
  <si>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</si>
  <si>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</si>
  <si>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</si>
  <si>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</si>
  <si>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</si>
  <si>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</si>
  <si>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</si>
  <si>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</si>
  <si>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</si>
  <si>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</si>
  <si>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</si>
  <si>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</si>
  <si>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</si>
  <si>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</si>
  <si>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</si>
  <si>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</si>
  <si>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</si>
  <si>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</si>
  <si>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</si>
  <si>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</si>
  <si>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</si>
  <si>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</si>
  <si>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</si>
  <si>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</si>
  <si>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</si>
  <si>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</si>
  <si>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</si>
  <si>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</si>
  <si>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</si>
  <si>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</si>
  <si>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</si>
  <si>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</si>
  <si>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</si>
  <si>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</si>
  <si>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</si>
  <si>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</si>
  <si>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</si>
  <si>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</si>
  <si>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</si>
  <si>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</si>
  <si>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</si>
  <si>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</si>
  <si>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</si>
  <si>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</si>
  <si>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</si>
  <si>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</si>
  <si>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</si>
  <si>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</si>
  <si>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</si>
  <si>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</si>
  <si>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</si>
  <si>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</si>
  <si>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</si>
  <si>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</si>
  <si>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</si>
  <si>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</si>
  <si>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</si>
  <si>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</si>
  <si>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</si>
  <si>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</si>
  <si>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</si>
  <si>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</si>
  <si>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</si>
  <si>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</si>
  <si>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</si>
  <si>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</si>
  <si>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</si>
  <si>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</si>
  <si>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</si>
  <si>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</si>
  <si>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</si>
  <si>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</si>
  <si>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</si>
  <si>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</si>
  <si>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</si>
  <si>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</si>
  <si>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</si>
  <si>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</si>
  <si>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</si>
  <si>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</si>
  <si>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</si>
  <si>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</si>
  <si>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</si>
  <si>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</si>
  <si>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</si>
  <si>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</si>
  <si>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</si>
  <si>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</si>
  <si>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</si>
  <si>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</si>
  <si>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</si>
  <si>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</si>
  <si>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</si>
  <si>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</si>
  <si>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</si>
  <si>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</si>
  <si>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</si>
  <si>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</si>
  <si>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</si>
  <si>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</si>
  <si>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</si>
  <si>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</si>
  <si>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</si>
  <si>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</si>
  <si>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</si>
  <si>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</si>
  <si>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</si>
  <si>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</si>
  <si>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</si>
  <si>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</si>
  <si>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</si>
  <si>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</si>
  <si>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</si>
  <si>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</si>
  <si>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</si>
  <si>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</si>
  <si>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</si>
  <si>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</si>
  <si>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</si>
  <si>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</si>
  <si>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</si>
  <si>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</si>
  <si>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</si>
  <si>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</si>
  <si>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</si>
  <si>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</si>
  <si>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</si>
  <si>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</si>
  <si>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</si>
  <si>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</si>
  <si>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</si>
  <si>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</si>
  <si>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</si>
  <si>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</si>
  <si>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</si>
  <si>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</si>
  <si>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</si>
  <si>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</si>
  <si>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</si>
  <si>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</si>
  <si>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</si>
  <si>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</si>
  <si>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</si>
  <si>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</si>
  <si>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</si>
  <si>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</si>
  <si>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</si>
  <si>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</si>
  <si>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</si>
  <si>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</si>
  <si>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</si>
  <si>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</si>
  <si>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</si>
  <si>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</si>
  <si>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</si>
  <si>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</si>
  <si>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</si>
  <si>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</si>
  <si>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</si>
  <si>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</si>
  <si>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</si>
  <si>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</si>
  <si>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</si>
  <si>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</si>
  <si>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</si>
  <si>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</si>
  <si>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</si>
  <si>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</si>
  <si>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</si>
  <si>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</si>
  <si>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</si>
  <si>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</si>
  <si>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</si>
  <si>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</si>
  <si>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</si>
  <si>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</si>
  <si>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</si>
  <si>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</si>
  <si>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</si>
  <si>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</si>
  <si>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</si>
  <si>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</si>
  <si>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</si>
  <si>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</si>
  <si>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</si>
  <si>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</si>
  <si>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</si>
  <si>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</si>
  <si>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</si>
  <si>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</si>
  <si>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</si>
  <si>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</si>
  <si>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</si>
  <si>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</si>
  <si>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</si>
  <si>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</si>
  <si>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</si>
  <si>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</si>
  <si>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</si>
  <si>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</si>
  <si>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</si>
  <si>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</si>
  <si>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</si>
  <si>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</si>
  <si>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</si>
  <si>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</si>
  <si>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</si>
  <si>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</si>
  <si>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</si>
  <si>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</si>
  <si>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</si>
  <si>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</si>
  <si>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</si>
  <si>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</si>
  <si>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</si>
  <si>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</si>
  <si>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</si>
  <si>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</si>
  <si>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</si>
  <si>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</si>
  <si>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</si>
  <si>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</si>
  <si>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</si>
  <si>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</si>
  <si>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</si>
  <si>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</si>
  <si>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</si>
  <si>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</si>
  <si>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</si>
  <si>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</si>
  <si>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</si>
  <si>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</si>
  <si>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</si>
  <si>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</si>
  <si>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</si>
  <si>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</si>
  <si>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</si>
  <si>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</si>
  <si>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</si>
  <si>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</si>
  <si>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</si>
  <si>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</si>
  <si>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</si>
  <si>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</si>
  <si>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</si>
  <si>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</si>
  <si>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</si>
  <si>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</si>
  <si>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</si>
  <si>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</si>
  <si>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</si>
  <si>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</si>
  <si>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</si>
  <si>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</si>
  <si>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</si>
  <si>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</si>
  <si>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</si>
  <si>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</si>
  <si>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</si>
  <si>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</si>
  <si>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</si>
  <si>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</si>
  <si>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</si>
  <si>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</si>
  <si>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</si>
  <si>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</si>
  <si>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</si>
  <si>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</si>
  <si>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</si>
  <si>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</si>
  <si>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</si>
  <si>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</si>
  <si>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</si>
  <si>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</si>
  <si>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</si>
  <si>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</si>
  <si>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</si>
  <si>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</si>
  <si>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</si>
  <si>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</si>
  <si>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</si>
  <si>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</si>
  <si>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</si>
  <si>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</si>
  <si>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</si>
  <si>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</si>
  <si>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</si>
  <si>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</si>
  <si>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</si>
  <si>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</si>
  <si>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</si>
  <si>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</si>
  <si>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</si>
  <si>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</si>
  <si>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</si>
  <si>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</si>
  <si>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</si>
  <si>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</si>
  <si>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</si>
  <si>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</si>
  <si>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</si>
  <si>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</si>
  <si>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</si>
  <si>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</si>
  <si>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</si>
  <si>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</si>
  <si>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</si>
  <si>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</si>
  <si>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</si>
  <si>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</si>
  <si>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</si>
  <si>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</si>
  <si>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</si>
  <si>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</si>
  <si>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</si>
  <si>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</si>
  <si>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</si>
  <si>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</si>
  <si>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</si>
  <si>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</si>
  <si>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</si>
  <si>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</si>
  <si>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</si>
  <si>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</si>
  <si>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</si>
  <si>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</si>
  <si>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</si>
  <si>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</si>
  <si>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</si>
  <si>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</si>
  <si>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</si>
  <si>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</si>
  <si>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</si>
  <si>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</si>
  <si>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</si>
  <si>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</si>
  <si>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</si>
  <si>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</si>
  <si>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</si>
  <si>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</si>
  <si>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</si>
  <si>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</si>
  <si>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</si>
  <si>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</si>
  <si>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</si>
  <si>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</si>
  <si>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</si>
  <si>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</si>
  <si>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</si>
  <si>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</si>
  <si>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</si>
  <si>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</si>
  <si>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</si>
  <si>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</si>
  <si>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</si>
  <si>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</si>
  <si>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</si>
  <si>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</si>
  <si>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</si>
  <si>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</si>
  <si>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</si>
  <si>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</si>
  <si>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</si>
  <si>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</si>
  <si>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</si>
  <si>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</si>
  <si>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</si>
  <si>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</si>
  <si>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</si>
  <si>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</si>
  <si>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</si>
  <si>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</si>
  <si>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</si>
  <si>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</si>
  <si>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</si>
  <si>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</si>
  <si>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</si>
  <si>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</si>
  <si>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</si>
  <si>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</si>
  <si>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</si>
  <si>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</si>
  <si>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</si>
  <si>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</si>
  <si>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</si>
  <si>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</si>
  <si>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</si>
  <si>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</si>
  <si>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</si>
  <si>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</si>
  <si>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</si>
  <si>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</si>
  <si>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</si>
  <si>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</si>
  <si>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</si>
  <si>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</si>
  <si>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</si>
  <si>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</si>
  <si>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</si>
  <si>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</si>
  <si>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</si>
  <si>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</si>
  <si>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</si>
  <si>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</si>
  <si>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</si>
  <si>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</si>
  <si>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</si>
  <si>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</si>
  <si>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</si>
  <si>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</si>
  <si>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</si>
  <si>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</si>
  <si>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</si>
  <si>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</si>
  <si>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</si>
  <si>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</si>
  <si>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</si>
  <si>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</si>
  <si>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</si>
  <si>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</si>
  <si>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</si>
  <si>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</si>
  <si>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</si>
  <si>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</si>
  <si>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</si>
  <si>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</si>
  <si>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</si>
  <si>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</si>
  <si>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</si>
  <si>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</si>
  <si>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</si>
  <si>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</si>
  <si>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</si>
  <si>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</si>
  <si>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</si>
  <si>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</si>
  <si>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</si>
  <si>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</si>
  <si>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</si>
  <si>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</si>
  <si>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</si>
  <si>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</si>
  <si>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</si>
  <si>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</si>
  <si>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</si>
  <si>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</si>
  <si>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</si>
  <si>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</si>
  <si>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</si>
  <si>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</si>
  <si>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</si>
  <si>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</si>
  <si>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</si>
  <si>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</si>
  <si>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</si>
  <si>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</si>
  <si>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</si>
  <si>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</si>
  <si>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</si>
  <si>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</si>
  <si>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</si>
  <si>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</si>
  <si>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</si>
  <si>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</si>
  <si>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</si>
  <si>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</si>
  <si>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</si>
  <si>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</si>
  <si>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</si>
  <si>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</si>
  <si>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</si>
  <si>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</si>
  <si>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</si>
  <si>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</si>
  <si>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</si>
  <si>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</si>
  <si>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</si>
  <si>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</si>
  <si>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</si>
  <si>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</si>
  <si>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</si>
  <si>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</si>
  <si>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</si>
  <si>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</si>
  <si>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</si>
  <si>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</si>
  <si>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</si>
  <si>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</si>
  <si>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</si>
  <si>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</si>
  <si>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</si>
  <si>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</si>
  <si>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</si>
  <si>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</si>
  <si>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</si>
  <si>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</si>
  <si>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</si>
  <si>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</si>
  <si>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</si>
  <si>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</si>
  <si>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</si>
  <si>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</si>
  <si>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</si>
  <si>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</si>
  <si>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</si>
  <si>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</si>
  <si>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</si>
  <si>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</si>
  <si>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</si>
  <si>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</si>
  <si>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</si>
  <si>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</si>
  <si>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</si>
  <si>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</si>
  <si>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</si>
  <si>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</si>
  <si>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</si>
  <si>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</si>
  <si>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</si>
  <si>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</si>
  <si>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</si>
  <si>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</si>
  <si>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</si>
  <si>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</si>
  <si>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</si>
  <si>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</si>
  <si>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</si>
  <si>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</si>
  <si>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</si>
  <si>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</si>
  <si>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</si>
  <si>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</si>
  <si>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</si>
  <si>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</si>
  <si>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</si>
  <si>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</si>
  <si>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</si>
  <si>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</si>
  <si>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</si>
  <si>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</si>
  <si>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</si>
  <si>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</si>
  <si>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</si>
  <si>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</si>
  <si>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</si>
  <si>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</si>
  <si>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</si>
  <si>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</si>
  <si>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</si>
  <si>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</si>
  <si>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</si>
  <si>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</si>
  <si>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</si>
  <si>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</si>
  <si>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</si>
  <si>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</si>
  <si>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</si>
  <si>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</si>
  <si>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</si>
  <si>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</si>
  <si>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</si>
  <si>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</si>
  <si>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</si>
  <si>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</si>
  <si>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</si>
  <si>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</si>
  <si>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</si>
  <si>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</si>
  <si>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</si>
  <si>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</si>
  <si>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</si>
  <si>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</si>
  <si>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</si>
  <si>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</si>
  <si>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</si>
  <si>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</si>
  <si>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</si>
  <si>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</si>
  <si>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</si>
  <si>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</si>
  <si>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</si>
  <si>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</si>
  <si>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</si>
  <si>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</si>
  <si>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</si>
  <si>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</si>
  <si>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</si>
  <si>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</si>
  <si>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</si>
  <si>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</si>
  <si>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</si>
  <si>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</si>
  <si>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</si>
  <si>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</si>
  <si>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</si>
  <si>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</si>
  <si>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</si>
  <si>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</si>
  <si>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</si>
  <si>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</si>
  <si>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</si>
  <si>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</si>
  <si>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</si>
  <si>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</si>
  <si>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</si>
  <si>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</si>
  <si>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</si>
  <si>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</si>
  <si>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</si>
  <si>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</si>
  <si>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</si>
  <si>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</si>
  <si>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</si>
  <si>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</si>
  <si>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</si>
  <si>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</si>
  <si>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</si>
  <si>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</si>
  <si>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</si>
  <si>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</si>
  <si>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</si>
  <si>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</si>
  <si>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</si>
  <si>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</si>
  <si>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</si>
  <si>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</si>
  <si>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</si>
  <si>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</si>
  <si>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</si>
  <si>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</si>
  <si>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</si>
  <si>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</si>
  <si>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</si>
  <si>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</si>
  <si>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</si>
  <si>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</si>
  <si>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</si>
  <si>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</si>
  <si>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</si>
  <si>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</si>
  <si>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</si>
  <si>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</si>
  <si>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</si>
  <si>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</si>
  <si>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</si>
  <si>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</si>
  <si>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</si>
  <si>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</si>
  <si>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</si>
  <si>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</si>
  <si>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</si>
  <si>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</si>
  <si>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</si>
  <si>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</si>
  <si>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</si>
  <si>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</si>
  <si>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</si>
  <si>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</si>
  <si>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</si>
  <si>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</si>
  <si>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</si>
  <si>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</si>
  <si>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</si>
  <si>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</si>
  <si>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</si>
  <si>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</si>
  <si>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</si>
  <si>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</si>
  <si>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</si>
  <si>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</si>
  <si>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</si>
  <si>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</si>
  <si>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</si>
  <si>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</si>
  <si>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</si>
  <si>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</si>
  <si>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</si>
  <si>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</si>
  <si>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</si>
  <si>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</si>
  <si>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</si>
  <si>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</si>
  <si>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</si>
  <si>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</si>
  <si>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</si>
  <si>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</si>
  <si>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</si>
  <si>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</si>
  <si>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</si>
  <si>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</si>
  <si>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</si>
  <si>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</si>
  <si>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</si>
  <si>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</si>
  <si>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</si>
  <si>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</si>
  <si>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</si>
  <si>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</si>
  <si>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</si>
  <si>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</si>
  <si>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</si>
  <si>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</si>
  <si>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</si>
  <si>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</si>
  <si>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</si>
  <si>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</si>
  <si>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</si>
  <si>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</si>
  <si>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</si>
  <si>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</si>
  <si>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</si>
  <si>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</si>
  <si>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</si>
  <si>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</si>
  <si>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</si>
  <si>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</si>
  <si>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</si>
  <si>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</si>
  <si>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</si>
  <si>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</si>
  <si>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</si>
  <si>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</si>
  <si>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</si>
  <si>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</si>
  <si>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</si>
  <si>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</si>
  <si>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</si>
  <si>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</si>
  <si>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</si>
  <si>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</si>
  <si>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</si>
  <si>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</si>
  <si>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</si>
  <si>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</si>
  <si>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</si>
  <si>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</si>
  <si>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</si>
  <si>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</si>
  <si>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</si>
  <si>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</si>
  <si>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</si>
  <si>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</si>
  <si>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</si>
  <si>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</si>
  <si>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</si>
  <si>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</si>
  <si>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</si>
  <si>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</si>
  <si>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</si>
  <si>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</si>
  <si>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</si>
  <si>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</si>
  <si>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</si>
  <si>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</si>
  <si>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</si>
  <si>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</si>
  <si>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</si>
  <si>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</si>
  <si>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</si>
  <si>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</si>
  <si>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</si>
  <si>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</si>
  <si>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</si>
  <si>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</si>
  <si>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</si>
  <si>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</si>
  <si>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</si>
  <si>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</si>
  <si>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</si>
  <si>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</si>
  <si>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</si>
  <si>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</si>
  <si>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</si>
  <si>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</si>
  <si>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</si>
  <si>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</si>
  <si>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</si>
  <si>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</si>
  <si>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</si>
  <si>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</si>
  <si>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</si>
  <si>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</si>
  <si>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</si>
  <si>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</si>
  <si>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</si>
  <si>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</si>
  <si>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</si>
  <si>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</si>
  <si>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</si>
  <si>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</si>
  <si>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</si>
  <si>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</si>
  <si>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</si>
  <si>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</si>
  <si>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</si>
  <si>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</si>
  <si>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</si>
  <si>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</si>
  <si>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</si>
  <si>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</si>
  <si>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</si>
  <si>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</si>
  <si>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</si>
  <si>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</si>
  <si>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</si>
  <si>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</si>
  <si>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</si>
  <si>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</si>
  <si>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</si>
  <si>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</si>
  <si>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</si>
  <si>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</si>
  <si>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</si>
  <si>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</si>
  <si>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</si>
  <si>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</si>
  <si>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</si>
  <si>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</si>
  <si>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</si>
  <si>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</si>
  <si>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</si>
  <si>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</si>
  <si>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</si>
  <si>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</si>
  <si>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</si>
  <si>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</si>
  <si>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</si>
  <si>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</si>
  <si>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</si>
  <si>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</si>
  <si>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</si>
  <si>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</si>
  <si>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</si>
  <si>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</si>
  <si>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</si>
  <si>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</si>
  <si>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</si>
  <si>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</si>
  <si>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</si>
  <si>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</si>
  <si>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</si>
  <si>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</si>
  <si>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</si>
  <si>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</si>
  <si>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</si>
  <si>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</si>
  <si>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</si>
  <si>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</si>
  <si>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</si>
  <si>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</si>
  <si>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</si>
  <si>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</si>
  <si>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</si>
  <si>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</si>
  <si>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</si>
  <si>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</si>
  <si>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</si>
  <si>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</si>
  <si>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</si>
  <si>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</si>
  <si>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</si>
  <si>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</si>
  <si>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</si>
  <si>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</si>
  <si>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</si>
  <si>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</si>
  <si>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</si>
  <si>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</si>
  <si>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</si>
  <si>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</si>
  <si>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</si>
  <si>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</si>
  <si>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</si>
  <si>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</si>
  <si>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</si>
  <si>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</si>
  <si>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</si>
  <si>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</si>
  <si>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</si>
  <si>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</si>
  <si>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</si>
  <si>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</si>
  <si>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</si>
  <si>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</si>
  <si>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</si>
  <si>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</si>
  <si>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</si>
  <si>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</si>
  <si>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</si>
  <si>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</si>
  <si>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</si>
  <si>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</si>
  <si>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</si>
  <si>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</si>
  <si>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</si>
  <si>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</si>
  <si>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</si>
  <si>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</si>
  <si>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</si>
  <si>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</si>
  <si>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</si>
  <si>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</si>
  <si>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</si>
  <si>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</si>
  <si>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</si>
  <si>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</si>
  <si>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</si>
  <si>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</si>
  <si>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</si>
  <si>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</si>
  <si>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</si>
  <si>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</si>
  <si>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</si>
  <si>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</si>
  <si>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</si>
  <si>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</si>
  <si>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</si>
  <si>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</si>
  <si>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</si>
  <si>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</si>
  <si>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</si>
  <si>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</si>
  <si>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</si>
  <si>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</si>
  <si>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</si>
  <si>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</si>
  <si>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</si>
  <si>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</si>
  <si>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</si>
  <si>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</si>
  <si>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</si>
  <si>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</si>
  <si>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</si>
  <si>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</si>
  <si>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</si>
  <si>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</si>
  <si>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</si>
  <si>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</si>
  <si>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</si>
  <si>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</si>
  <si>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</si>
  <si>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</si>
  <si>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</si>
  <si>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</si>
  <si>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</si>
  <si>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</si>
  <si>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</si>
  <si>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</si>
  <si>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</si>
  <si>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</si>
  <si>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</si>
  <si>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</si>
  <si>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</si>
  <si>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</si>
  <si>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</si>
  <si>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</si>
  <si>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</si>
  <si>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</si>
  <si>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</si>
  <si>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</si>
  <si>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</si>
  <si>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</si>
  <si>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</si>
  <si>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</si>
  <si>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</si>
  <si>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</si>
  <si>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</si>
  <si>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</si>
  <si>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</si>
  <si>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</si>
  <si>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</si>
  <si>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</si>
  <si>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</si>
  <si>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</si>
  <si>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</si>
  <si>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</si>
  <si>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</si>
  <si>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</si>
  <si>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</si>
  <si>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</si>
  <si>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</si>
  <si>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</si>
  <si>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</si>
  <si>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</si>
  <si>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</si>
  <si>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</si>
  <si>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</si>
  <si>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</si>
  <si>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</si>
  <si>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</si>
  <si>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</si>
  <si>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</si>
  <si>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</si>
  <si>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</si>
  <si>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</si>
  <si>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</si>
  <si>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</si>
  <si>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</si>
  <si>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</si>
  <si>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</si>
  <si>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</si>
  <si>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</si>
  <si>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</si>
  <si>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</si>
  <si>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</si>
  <si>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</si>
  <si>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</si>
  <si>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</si>
  <si>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</si>
  <si>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</si>
  <si>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</si>
  <si>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</si>
  <si>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</si>
  <si>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</si>
  <si>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</si>
  <si>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</si>
  <si>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</si>
  <si>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</si>
  <si>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</si>
  <si>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</si>
  <si>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</si>
  <si>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</si>
  <si>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</si>
  <si>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</si>
  <si>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</si>
  <si>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</si>
  <si>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</si>
  <si>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</si>
  <si>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</si>
  <si>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</si>
  <si>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</si>
  <si>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</si>
  <si>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</si>
  <si>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</si>
  <si>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</si>
  <si>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</si>
  <si>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</si>
  <si>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</si>
  <si>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</si>
  <si>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</si>
  <si>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</si>
  <si>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</si>
  <si>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</si>
  <si>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</si>
  <si>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</si>
  <si>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</si>
  <si>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</si>
  <si>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</si>
  <si>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</si>
  <si>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</si>
  <si>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</si>
  <si>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</si>
  <si>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</si>
  <si>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</si>
  <si>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</si>
  <si>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</si>
  <si>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</si>
  <si>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</si>
  <si>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</si>
  <si>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</si>
  <si>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</si>
  <si>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</si>
  <si>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</si>
  <si>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</si>
  <si>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</si>
  <si>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</si>
  <si>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</si>
  <si>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</si>
  <si>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</si>
  <si>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</si>
  <si>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</si>
  <si>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</si>
  <si>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</si>
  <si>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</si>
  <si>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</si>
  <si>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</si>
  <si>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</si>
  <si>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</si>
  <si>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</si>
  <si>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</si>
  <si>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</si>
  <si>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</si>
  <si>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</si>
  <si>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</si>
  <si>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</si>
  <si>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</si>
  <si>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</si>
  <si>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</si>
  <si>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</si>
  <si>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</si>
  <si>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</si>
  <si>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</si>
  <si>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</si>
  <si>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</si>
  <si>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</si>
  <si>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</si>
  <si>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</si>
  <si>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</si>
  <si>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</si>
  <si>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</si>
  <si>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</si>
  <si>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</si>
  <si>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</si>
  <si>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</si>
  <si>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</si>
  <si>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</si>
  <si>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</si>
  <si>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</si>
  <si>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</si>
  <si>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</si>
  <si>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</si>
  <si>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</si>
  <si>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</si>
  <si>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</si>
  <si>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</si>
  <si>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</si>
  <si>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</si>
  <si>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</si>
  <si>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</si>
  <si>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</si>
  <si>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</si>
  <si>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</si>
  <si>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</si>
  <si>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</si>
  <si>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</si>
  <si>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</si>
  <si>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</si>
  <si>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</si>
  <si>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</si>
  <si>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</si>
  <si>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</si>
  <si>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</si>
  <si>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</si>
  <si>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</si>
  <si>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</si>
  <si>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</si>
  <si>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</si>
  <si>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</si>
  <si>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</si>
  <si>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</si>
  <si>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</si>
  <si>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</si>
  <si>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</si>
  <si>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</si>
  <si>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</si>
  <si>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</si>
  <si>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</si>
  <si>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</si>
  <si>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</si>
  <si>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</si>
  <si>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</si>
  <si>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</si>
  <si>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</si>
  <si>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</si>
  <si>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</si>
  <si>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</si>
  <si>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</si>
  <si>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</si>
  <si>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</si>
  <si>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</si>
  <si>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</si>
  <si>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</si>
  <si>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</si>
  <si>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</si>
  <si>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</si>
  <si>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</si>
  <si>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</si>
  <si>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</si>
  <si>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</si>
  <si>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</si>
  <si>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</si>
  <si>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</si>
  <si>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</si>
  <si>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</si>
  <si>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</si>
  <si>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</si>
  <si>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</si>
  <si>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</si>
  <si>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</si>
  <si>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</si>
  <si>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</si>
  <si>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</si>
  <si>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</si>
  <si>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</si>
  <si>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</si>
  <si>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</si>
  <si>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</si>
  <si>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</si>
  <si>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</si>
  <si>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</si>
  <si>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</si>
  <si>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</si>
  <si>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</si>
  <si>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</si>
  <si>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</si>
  <si>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</si>
  <si>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</si>
  <si>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</si>
  <si>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</si>
  <si>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</si>
  <si>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</si>
  <si>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</si>
  <si>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</si>
  <si>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</si>
  <si>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</si>
  <si>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</si>
  <si>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</si>
  <si>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</si>
  <si>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</si>
  <si>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</si>
  <si>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</si>
  <si>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</si>
  <si>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</si>
  <si>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</si>
  <si>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</si>
  <si>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</si>
  <si>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</si>
  <si>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</si>
  <si>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</si>
  <si>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</si>
  <si>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</si>
  <si>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</si>
  <si>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</si>
  <si>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</si>
  <si>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</si>
  <si>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</si>
  <si>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</si>
  <si>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</si>
  <si>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</si>
  <si>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</si>
  <si>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</si>
  <si>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</si>
  <si>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</si>
  <si>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</si>
  <si>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</si>
  <si>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</si>
  <si>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</si>
  <si>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</si>
  <si>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</si>
  <si>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</si>
  <si>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</si>
  <si>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</si>
  <si>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</si>
  <si>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</si>
  <si>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</si>
  <si>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</si>
  <si>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</si>
  <si>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</si>
  <si>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</si>
  <si>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</si>
  <si>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</si>
  <si>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</si>
  <si>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</si>
  <si>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</si>
  <si>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</si>
  <si>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</si>
  <si>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</si>
  <si>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</si>
  <si>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</si>
  <si>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</si>
  <si>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</si>
  <si>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</si>
  <si>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</si>
  <si>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</si>
  <si>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</si>
  <si>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</si>
  <si>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</si>
  <si>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</si>
  <si>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</si>
  <si>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</si>
  <si>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</si>
  <si>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</si>
  <si>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</si>
  <si>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</si>
  <si>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</si>
  <si>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</si>
  <si>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</si>
  <si>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</si>
  <si>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</si>
  <si>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</si>
  <si>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</si>
  <si>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</si>
  <si>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</si>
  <si>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</si>
  <si>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</si>
  <si>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</si>
  <si>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</si>
  <si>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</si>
  <si>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</si>
  <si>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</si>
  <si>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</si>
  <si>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</si>
  <si>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</si>
  <si>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</si>
  <si>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</si>
  <si>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</si>
  <si>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</si>
  <si>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</si>
  <si>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</si>
  <si>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</si>
  <si>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</si>
  <si>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</si>
  <si>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</si>
  <si>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</si>
  <si>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</si>
  <si>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</si>
  <si>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</si>
  <si>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</si>
  <si>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</si>
  <si>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</si>
  <si>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</si>
  <si>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</si>
  <si>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</si>
  <si>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</si>
  <si>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</si>
  <si>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</si>
  <si>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</si>
  <si>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</si>
  <si>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</si>
  <si>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</si>
  <si>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</si>
  <si>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</si>
  <si>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</si>
  <si>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</si>
  <si>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</si>
  <si>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</si>
  <si>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</si>
  <si>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</si>
  <si>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</si>
  <si>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</si>
  <si>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</si>
  <si>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</si>
  <si>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</si>
  <si>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</si>
  <si>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</si>
  <si>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</si>
  <si>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</si>
  <si>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</si>
  <si>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</si>
  <si>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</si>
  <si>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</si>
  <si>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</si>
  <si>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</si>
  <si>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</si>
  <si>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</si>
  <si>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</si>
  <si>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</si>
  <si>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</si>
  <si>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</si>
  <si>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</si>
  <si>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</si>
  <si>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</si>
  <si>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</si>
  <si>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</si>
  <si>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</si>
  <si>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</si>
  <si>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</si>
  <si>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</si>
  <si>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</si>
  <si>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</si>
  <si>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</si>
  <si>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</si>
  <si>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</si>
  <si>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</si>
  <si>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</si>
  <si>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</si>
  <si>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</si>
  <si>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</si>
  <si>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</si>
  <si>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</si>
  <si>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</si>
  <si>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</si>
  <si>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</si>
  <si>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</si>
  <si>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</si>
  <si>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</si>
  <si>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</si>
  <si>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</si>
  <si>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</si>
  <si>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</si>
  <si>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</si>
  <si>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</si>
  <si>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</si>
  <si>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</si>
  <si>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</si>
  <si>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</si>
  <si>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</si>
  <si>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</si>
  <si>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</si>
  <si>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</si>
  <si>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</si>
  <si>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</si>
  <si>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</si>
  <si>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</si>
  <si>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</si>
  <si>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</si>
  <si>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</si>
  <si>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</si>
  <si>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</si>
  <si>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</si>
  <si>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</si>
  <si>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</si>
  <si>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</si>
  <si>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</si>
  <si>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</si>
  <si>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</si>
  <si>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</si>
  <si>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</si>
  <si>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</si>
  <si>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</si>
  <si>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</si>
  <si>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</si>
  <si>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</si>
  <si>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</si>
  <si>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</si>
  <si>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</si>
  <si>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</si>
  <si>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</si>
  <si>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</si>
  <si>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</si>
  <si>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</si>
  <si>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</si>
  <si>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</si>
  <si>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</si>
  <si>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</si>
  <si>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</si>
  <si>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</si>
  <si>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</si>
  <si>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</si>
  <si>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</si>
  <si>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</si>
  <si>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</si>
  <si>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</si>
  <si>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</si>
  <si>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</si>
  <si>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</si>
  <si>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</si>
  <si>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</si>
  <si>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</si>
  <si>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</si>
  <si>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</si>
  <si>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</si>
  <si>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</si>
  <si>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</si>
  <si>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</si>
  <si>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</si>
  <si>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</si>
  <si>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</si>
  <si>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</si>
  <si>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</si>
  <si>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</si>
  <si>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</si>
  <si>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</si>
  <si>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</si>
  <si>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</si>
  <si>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</si>
  <si>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</si>
  <si>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</si>
  <si>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</si>
  <si>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</si>
  <si>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</si>
  <si>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</si>
  <si>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</si>
  <si>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</si>
  <si>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</si>
  <si>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</si>
  <si>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</si>
  <si>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</si>
  <si>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</si>
  <si>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</si>
  <si>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</si>
  <si>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</si>
  <si>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</si>
  <si>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</si>
  <si>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</si>
  <si>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</si>
  <si>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</si>
  <si>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</si>
  <si>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</si>
  <si>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</si>
  <si>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</si>
  <si>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</si>
  <si>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</si>
  <si>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</si>
  <si>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</si>
  <si>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</si>
  <si>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</si>
  <si>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</si>
  <si>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</si>
  <si>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</si>
  <si>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</si>
  <si>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</si>
  <si>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</si>
  <si>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</si>
  <si>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</si>
  <si>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</si>
  <si>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</si>
  <si>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</si>
  <si>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</si>
  <si>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</si>
  <si>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</si>
  <si>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</si>
  <si>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</si>
  <si>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</si>
  <si>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</si>
  <si>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</si>
  <si>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</si>
  <si>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</si>
  <si>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</si>
  <si>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</si>
  <si>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</si>
  <si>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</si>
  <si>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</si>
  <si>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</si>
  <si>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</si>
  <si>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</si>
  <si>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</si>
  <si>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</si>
  <si>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</si>
  <si>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</si>
  <si>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</si>
  <si>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</si>
  <si>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</si>
  <si>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</si>
  <si>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</si>
  <si>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</si>
  <si>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</si>
  <si>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</si>
  <si>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</si>
  <si>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</si>
  <si>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</si>
  <si>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</si>
  <si>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</si>
  <si>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</si>
  <si>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</si>
  <si>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</si>
  <si>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</si>
  <si>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</si>
  <si>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</si>
  <si>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</si>
  <si>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</si>
  <si>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</si>
  <si>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</si>
  <si>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</si>
  <si>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</si>
  <si>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</si>
  <si>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</si>
  <si>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</si>
  <si>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</si>
  <si>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</si>
  <si>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</si>
  <si>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</si>
  <si>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</si>
  <si>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</si>
  <si>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</si>
  <si>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</si>
  <si>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</si>
  <si>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</si>
  <si>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</si>
  <si>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</si>
  <si>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</si>
  <si>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</si>
  <si>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</si>
  <si>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</si>
  <si>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</si>
  <si>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</si>
  <si>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</si>
  <si>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</si>
  <si>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</si>
  <si>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</si>
  <si>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</si>
  <si>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</si>
  <si>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</si>
  <si>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</si>
  <si>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</si>
  <si>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</si>
  <si>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</si>
  <si>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</si>
  <si>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</si>
  <si>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</si>
  <si>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</si>
  <si>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</si>
  <si>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</si>
  <si>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</si>
  <si>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</si>
  <si>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</si>
  <si>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</si>
  <si>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</si>
  <si>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</si>
  <si>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</si>
  <si>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</si>
  <si>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</si>
  <si>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</si>
  <si>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</si>
  <si>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</si>
  <si>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</si>
  <si>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</si>
  <si>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</si>
  <si>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</si>
  <si>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</si>
  <si>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</si>
  <si>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</si>
  <si>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</si>
  <si>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</si>
  <si>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</si>
  <si>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</si>
  <si>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</si>
  <si>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</si>
  <si>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</si>
  <si>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</si>
  <si>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</si>
  <si>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</si>
  <si>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</si>
  <si>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</si>
  <si>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</si>
  <si>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</si>
  <si>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</si>
  <si>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</si>
  <si>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</si>
  <si>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</si>
  <si>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</si>
  <si>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</si>
  <si>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</si>
  <si>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</si>
  <si>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</si>
  <si>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</si>
  <si>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</si>
  <si>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</si>
  <si>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</si>
  <si>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</si>
  <si>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</si>
  <si>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</si>
  <si>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</si>
  <si>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</si>
  <si>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</si>
  <si>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</si>
  <si>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</si>
  <si>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</si>
  <si>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</si>
  <si>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</si>
  <si>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</si>
  <si>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</si>
  <si>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</si>
  <si>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</si>
  <si>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</si>
  <si>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</si>
  <si>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</si>
  <si>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</si>
  <si>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</si>
  <si>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</si>
  <si>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</si>
  <si>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</si>
  <si>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</si>
  <si>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</si>
  <si>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</si>
  <si>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</si>
  <si>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</si>
  <si>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</si>
  <si>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</si>
  <si>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</si>
  <si>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</si>
  <si>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</si>
  <si>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</si>
  <si>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</si>
  <si>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</si>
  <si>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</si>
  <si>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</si>
  <si>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</si>
  <si>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</si>
  <si>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</si>
  <si>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</si>
  <si>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</si>
  <si>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</si>
  <si>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</si>
  <si>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</si>
  <si>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</si>
  <si>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</si>
  <si>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</si>
  <si>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</si>
  <si>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</si>
  <si>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</si>
  <si>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</si>
  <si>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</si>
  <si>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</si>
  <si>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</si>
  <si>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</si>
  <si>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</si>
  <si>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</si>
  <si>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</si>
  <si>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</si>
  <si>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</si>
  <si>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</si>
  <si>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</si>
  <si>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</si>
  <si>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</si>
  <si>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</si>
  <si>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</si>
  <si>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</si>
  <si>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</si>
  <si>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</si>
  <si>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</si>
  <si>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</si>
  <si>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</si>
  <si>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</si>
  <si>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</si>
  <si>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</si>
  <si>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</si>
  <si>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</si>
  <si>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</si>
  <si>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</si>
  <si>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</si>
  <si>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</si>
  <si>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</si>
  <si>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</si>
  <si>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</si>
  <si>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</si>
  <si>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</si>
  <si>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</si>
  <si>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</si>
  <si>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</si>
  <si>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</si>
  <si>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</si>
  <si>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</si>
  <si>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</si>
  <si>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</si>
  <si>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</si>
  <si>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</si>
  <si>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</si>
  <si>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</si>
  <si>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</si>
  <si>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</si>
  <si>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</si>
  <si>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</si>
  <si>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</si>
  <si>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</si>
  <si>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</si>
  <si>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</si>
  <si>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</si>
  <si>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</si>
  <si>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</si>
  <si>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</si>
  <si>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</si>
  <si>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</si>
  <si>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</si>
  <si>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</si>
  <si>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</si>
  <si>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</si>
  <si>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</si>
  <si>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</si>
  <si>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</si>
  <si>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</si>
  <si>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</si>
  <si>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</si>
  <si>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</si>
  <si>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</si>
  <si>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</si>
  <si>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</si>
  <si>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</si>
  <si>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</si>
  <si>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</si>
  <si>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</si>
  <si>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</si>
  <si>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</si>
  <si>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</si>
  <si>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</si>
  <si>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</si>
  <si>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</si>
  <si>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</si>
  <si>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</si>
  <si>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</si>
  <si>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</si>
  <si>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</si>
  <si>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</si>
  <si>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</si>
  <si>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</si>
  <si>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</si>
  <si>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</si>
  <si>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</si>
  <si>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</si>
  <si>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</si>
  <si>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</si>
  <si>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</si>
  <si>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</si>
  <si>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</si>
  <si>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</si>
  <si>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</si>
  <si>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</si>
  <si>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</si>
  <si>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</si>
  <si>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</si>
  <si>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</si>
  <si>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</si>
  <si>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</si>
  <si>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</si>
  <si>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</si>
  <si>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</si>
  <si>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</si>
  <si>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</si>
  <si>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</si>
  <si>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</si>
  <si>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</si>
  <si>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</si>
  <si>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</si>
  <si>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</si>
  <si>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</si>
  <si>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</si>
  <si>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</si>
  <si>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</si>
  <si>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</si>
  <si>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</si>
  <si>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</si>
  <si>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</si>
  <si>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</si>
  <si>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</si>
  <si>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</si>
  <si>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</si>
  <si>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</si>
  <si>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</si>
  <si>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</si>
  <si>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</si>
  <si>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</si>
  <si>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</si>
  <si>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</si>
  <si>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</si>
  <si>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</si>
  <si>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</si>
  <si>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</si>
  <si>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</si>
  <si>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</si>
  <si>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</si>
  <si>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</si>
  <si>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</si>
  <si>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</si>
  <si>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</si>
  <si>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</si>
  <si>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</si>
  <si>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</si>
  <si>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</si>
  <si>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</si>
  <si>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</si>
  <si>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</si>
  <si>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</si>
  <si>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</si>
  <si>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</si>
  <si>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</si>
  <si>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</si>
  <si>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</si>
  <si>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</si>
  <si>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</si>
  <si>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</si>
  <si>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</si>
  <si>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</si>
  <si>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</si>
  <si>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</si>
  <si>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</si>
  <si>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</si>
  <si>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</si>
  <si>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</si>
  <si>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</si>
  <si>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</si>
  <si>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</si>
  <si>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</si>
  <si>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</si>
  <si>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</si>
  <si>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</si>
  <si>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</si>
  <si>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</si>
  <si>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</si>
  <si>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</si>
  <si>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</si>
  <si>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</si>
  <si>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</si>
  <si>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</si>
  <si>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</si>
  <si>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</si>
  <si>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</si>
  <si>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</si>
  <si>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</si>
  <si>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</si>
  <si>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</si>
  <si>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</si>
  <si>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</si>
  <si>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</si>
  <si>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</si>
  <si>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</si>
  <si>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</si>
  <si>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</si>
  <si>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</si>
  <si>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</si>
  <si>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</si>
  <si>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</si>
  <si>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</si>
  <si>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</si>
  <si>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</si>
  <si>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</si>
  <si>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</si>
  <si>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</si>
  <si>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</si>
  <si>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</si>
  <si>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</si>
  <si>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</si>
  <si>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</si>
  <si>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</si>
  <si>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</si>
  <si>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</si>
  <si>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</si>
  <si>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</si>
  <si>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</si>
  <si>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</si>
  <si>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</si>
  <si>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</si>
  <si>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</si>
  <si>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</si>
  <si>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</si>
  <si>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</si>
  <si>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</si>
  <si>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</si>
  <si>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</si>
  <si>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</si>
  <si>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</si>
  <si>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</si>
  <si>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</si>
  <si>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</si>
  <si>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</si>
  <si>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</si>
  <si>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</si>
  <si>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</si>
  <si>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</si>
  <si>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</si>
  <si>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</si>
  <si>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</si>
  <si>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</si>
  <si>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</si>
  <si>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</si>
  <si>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</si>
  <si>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</si>
  <si>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</si>
  <si>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</si>
  <si>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</si>
  <si>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</si>
  <si>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</si>
  <si>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</si>
  <si>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</si>
  <si>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</si>
  <si>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</si>
  <si>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</si>
  <si>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</si>
  <si>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</si>
  <si>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</si>
  <si>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</si>
  <si>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</si>
  <si>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</si>
  <si>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</si>
  <si>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</si>
  <si>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</si>
  <si>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</si>
  <si>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</si>
  <si>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</si>
  <si>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</si>
  <si>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</si>
  <si>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</si>
  <si>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</si>
  <si>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</si>
  <si>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</si>
  <si>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</si>
  <si>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</si>
  <si>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</si>
  <si>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</si>
  <si>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</si>
  <si>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</si>
  <si>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</si>
  <si>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</si>
  <si>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</si>
  <si>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</si>
  <si>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</si>
  <si>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</si>
  <si>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</si>
  <si>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</si>
  <si>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</si>
  <si>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</si>
  <si>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</si>
  <si>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</si>
  <si>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</si>
  <si>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</si>
  <si>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</si>
  <si>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</si>
  <si>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</si>
  <si>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</si>
  <si>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</si>
  <si>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</si>
  <si>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</si>
  <si>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</si>
  <si>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</si>
  <si>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</si>
  <si>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</si>
  <si>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</si>
  <si>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</si>
  <si>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</si>
  <si>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</si>
  <si>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</si>
  <si>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</si>
  <si>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</si>
  <si>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</si>
  <si>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</si>
  <si>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</si>
  <si>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</si>
  <si>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</si>
  <si>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</si>
  <si>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</si>
  <si>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</si>
  <si>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</si>
  <si>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</si>
  <si>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</si>
  <si>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</si>
  <si>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</si>
  <si>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</si>
  <si>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</si>
  <si>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</si>
  <si>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</si>
  <si>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</si>
  <si>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</si>
  <si>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</si>
  <si>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</si>
  <si>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</si>
  <si>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</si>
  <si>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</si>
  <si>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</si>
  <si>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</si>
  <si>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</si>
  <si>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</si>
  <si>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</si>
  <si>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</si>
  <si>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</si>
  <si>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</si>
  <si>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</si>
  <si>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</si>
  <si>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</si>
  <si>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</si>
  <si>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</si>
  <si>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</si>
  <si>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</si>
  <si>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</si>
  <si>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</si>
  <si>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</si>
  <si>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</si>
  <si>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</si>
  <si>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</si>
  <si>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</si>
  <si>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</si>
  <si>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</si>
  <si>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</si>
  <si>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</si>
  <si>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</si>
  <si>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</si>
  <si>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</si>
  <si>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</si>
  <si>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</si>
  <si>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</si>
  <si>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</si>
  <si>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</si>
  <si>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</si>
  <si>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</si>
  <si>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</si>
  <si>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</si>
  <si>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</si>
  <si>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</si>
  <si>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</si>
  <si>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</si>
  <si>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</si>
  <si>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</si>
  <si>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</si>
  <si>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</si>
  <si>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</si>
  <si>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</si>
  <si>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</si>
  <si>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</si>
  <si>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</si>
  <si>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</si>
  <si>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</si>
  <si>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</si>
  <si>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</si>
  <si>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</si>
  <si>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</si>
  <si>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</si>
  <si>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</si>
  <si>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</si>
  <si>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</si>
  <si>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</si>
  <si>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</si>
  <si>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</si>
  <si>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</si>
  <si>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</si>
  <si>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</si>
  <si>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</si>
  <si>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</si>
  <si>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</si>
  <si>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</si>
  <si>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</si>
  <si>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</si>
  <si>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</si>
  <si>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</si>
  <si>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</si>
  <si>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</si>
  <si>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</si>
  <si>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</si>
  <si>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</si>
  <si>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</si>
  <si>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</si>
  <si>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</si>
  <si>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</si>
  <si>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</si>
  <si>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</si>
  <si>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</si>
  <si>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</si>
  <si>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</si>
  <si>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</si>
  <si>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</si>
  <si>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</si>
  <si>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</si>
  <si>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</si>
  <si>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</si>
  <si>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</si>
  <si>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</si>
  <si>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</si>
  <si>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</si>
  <si>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</si>
  <si>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</si>
  <si>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</si>
  <si>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</si>
  <si>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</si>
  <si>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</si>
  <si>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</si>
  <si>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</si>
  <si>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</si>
  <si>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</si>
  <si>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</si>
  <si>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</si>
  <si>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</si>
  <si>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</si>
  <si>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</si>
  <si>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</si>
  <si>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</si>
  <si>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</si>
  <si>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</si>
  <si>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</si>
  <si>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</si>
  <si>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</si>
  <si>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</si>
  <si>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</si>
  <si>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</si>
  <si>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</si>
  <si>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</si>
  <si>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</si>
  <si>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</si>
  <si>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</si>
  <si>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</si>
  <si>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</si>
  <si>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</si>
  <si>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</si>
  <si>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</si>
  <si>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</si>
  <si>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</si>
  <si>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</si>
  <si>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</si>
  <si>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</si>
  <si>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</si>
  <si>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</si>
  <si>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</si>
  <si>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</si>
  <si>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</si>
  <si>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</si>
  <si>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</si>
  <si>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</si>
  <si>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</si>
  <si>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</si>
  <si>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</si>
  <si>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</si>
  <si>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</si>
  <si>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</si>
  <si>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</si>
  <si>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</si>
  <si>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</si>
  <si>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</si>
  <si>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</si>
  <si>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</si>
  <si>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</si>
  <si>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</si>
  <si>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</si>
  <si>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</si>
  <si>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</si>
  <si>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</si>
  <si>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</si>
  <si>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</si>
  <si>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</si>
  <si>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</si>
  <si>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</si>
  <si>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</si>
  <si>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</si>
  <si>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</si>
  <si>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</si>
  <si>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</si>
  <si>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</si>
  <si>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</si>
  <si>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</si>
  <si>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</si>
  <si>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</si>
  <si>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</si>
  <si>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</si>
  <si>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</si>
  <si>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</si>
  <si>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</si>
  <si>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</si>
  <si>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</si>
  <si>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</si>
  <si>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</si>
  <si>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</si>
  <si>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</si>
  <si>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</si>
  <si>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</si>
  <si>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</si>
  <si>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</si>
  <si>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</si>
  <si>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</si>
  <si>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</si>
  <si>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</si>
  <si>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</si>
  <si>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</si>
  <si>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</si>
  <si>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</si>
  <si>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</si>
  <si>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</si>
  <si>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</si>
  <si>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</si>
  <si>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</si>
  <si>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</si>
  <si>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</si>
  <si>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</si>
  <si>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</si>
  <si>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</si>
  <si>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</si>
  <si>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</si>
  <si>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</si>
  <si>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</si>
  <si>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</si>
  <si>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</si>
  <si>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</si>
  <si>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</si>
  <si>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</si>
  <si>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</si>
  <si>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</si>
  <si>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</si>
  <si>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</si>
  <si>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</si>
  <si>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</si>
  <si>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</si>
  <si>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</si>
  <si>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</si>
  <si>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</si>
  <si>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</si>
  <si>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</si>
  <si>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</si>
  <si>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</si>
  <si>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</si>
  <si>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</si>
  <si>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</si>
  <si>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</si>
  <si>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</si>
  <si>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</si>
  <si>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</si>
  <si>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</si>
  <si>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</si>
  <si>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</si>
  <si>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</si>
  <si>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</si>
  <si>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</si>
  <si>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</si>
  <si>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</si>
  <si>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</si>
  <si>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</si>
  <si>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</si>
  <si>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</si>
  <si>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</si>
  <si>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</si>
  <si>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</si>
  <si>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</si>
  <si>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</si>
  <si>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</si>
  <si>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</si>
  <si>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</si>
  <si>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</si>
  <si>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</si>
  <si>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</si>
  <si>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</si>
  <si>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</si>
  <si>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</si>
  <si>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</si>
  <si>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</si>
  <si>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</si>
  <si>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</si>
  <si>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</si>
  <si>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</si>
  <si>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</si>
  <si>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</si>
  <si>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</si>
  <si>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</si>
  <si>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</si>
  <si>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</si>
  <si>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</si>
  <si>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</si>
  <si>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</si>
  <si>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</si>
  <si>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</si>
  <si>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</si>
  <si>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</si>
  <si>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</si>
  <si>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</si>
  <si>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</si>
  <si>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</si>
  <si>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</si>
  <si>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</si>
  <si>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</si>
  <si>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</si>
  <si>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</si>
  <si>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</si>
  <si>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</si>
  <si>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</si>
  <si>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</si>
  <si>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</si>
  <si>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</si>
  <si>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</si>
  <si>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</si>
  <si>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</si>
  <si>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</si>
  <si>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</si>
  <si>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</si>
  <si>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</si>
  <si>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</si>
  <si>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</si>
  <si>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</si>
  <si>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</si>
  <si>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</si>
  <si>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</si>
  <si>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</si>
  <si>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</si>
  <si>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</si>
  <si>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</si>
  <si>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</si>
  <si>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</si>
  <si>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</si>
  <si>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</si>
  <si>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</si>
  <si>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</si>
  <si>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</si>
  <si>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</si>
  <si>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</si>
  <si>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</si>
  <si>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</si>
  <si>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</si>
  <si>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</si>
  <si>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</si>
  <si>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</si>
  <si>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</si>
  <si>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</si>
  <si>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</si>
  <si>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</si>
  <si>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</si>
  <si>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</si>
  <si>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</si>
  <si>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</si>
  <si>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</si>
  <si>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</si>
  <si>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</si>
  <si>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</si>
  <si>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</si>
  <si>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</si>
  <si>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</si>
  <si>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</si>
  <si>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</si>
  <si>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</si>
  <si>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</si>
  <si>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</si>
  <si>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</si>
  <si>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</si>
  <si>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</si>
  <si>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</si>
  <si>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</si>
  <si>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</si>
  <si>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</si>
  <si>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</si>
  <si>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</si>
  <si>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</si>
  <si>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</si>
  <si>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</si>
  <si>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</si>
  <si>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</si>
  <si>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</si>
  <si>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</si>
  <si>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</si>
  <si>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</si>
  <si>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</si>
  <si>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</si>
  <si>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</si>
  <si>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</si>
  <si>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</si>
  <si>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</si>
  <si>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</si>
  <si>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</si>
  <si>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</si>
  <si>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</si>
  <si>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</si>
  <si>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</si>
  <si>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</si>
  <si>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</si>
  <si>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</si>
  <si>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</si>
  <si>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</si>
  <si>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</si>
  <si>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</si>
  <si>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</si>
  <si>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</si>
  <si>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</si>
  <si>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</si>
  <si>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</si>
  <si>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</si>
  <si>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</si>
  <si>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</si>
  <si>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</si>
  <si>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</si>
  <si>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</si>
  <si>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</si>
  <si>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</si>
  <si>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</si>
  <si>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</si>
  <si>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</si>
  <si>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</si>
  <si>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</si>
  <si>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</si>
  <si>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</si>
  <si>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</si>
  <si>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</si>
  <si>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</si>
  <si>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</si>
  <si>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</si>
  <si>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</si>
  <si>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</si>
  <si>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</si>
  <si>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</si>
  <si>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</si>
  <si>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</si>
  <si>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</si>
  <si>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</si>
  <si>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</si>
  <si>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</si>
  <si>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</si>
  <si>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</si>
  <si>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</si>
  <si>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</si>
  <si>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</si>
  <si>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</si>
  <si>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</si>
  <si>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</si>
  <si>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</si>
  <si>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</si>
  <si>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</si>
  <si>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</si>
  <si>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</si>
  <si>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</si>
  <si>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</si>
  <si>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</si>
  <si>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</si>
  <si>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</si>
  <si>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</si>
  <si>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</si>
  <si>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</si>
  <si>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</si>
  <si>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</si>
  <si>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</si>
  <si>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</si>
  <si>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</si>
  <si>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</si>
  <si>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</si>
  <si>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</si>
  <si>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</si>
  <si>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</si>
  <si>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</si>
  <si>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</si>
  <si>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</si>
  <si>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</si>
  <si>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</si>
  <si>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</si>
  <si>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</si>
  <si>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</si>
  <si>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</si>
  <si>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</si>
  <si>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</si>
  <si>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</si>
  <si>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</si>
  <si>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</si>
  <si>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</si>
  <si>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</si>
  <si>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</si>
  <si>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</si>
  <si>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</si>
  <si>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</si>
  <si>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</si>
  <si>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</si>
  <si>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</si>
  <si>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</si>
  <si>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</si>
  <si>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</si>
  <si>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</si>
  <si>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</si>
  <si>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</si>
  <si>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</si>
  <si>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</si>
  <si>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</si>
  <si>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</si>
  <si>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</si>
  <si>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</si>
  <si>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</si>
  <si>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</si>
  <si>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</si>
  <si>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</si>
  <si>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</si>
  <si>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</si>
  <si>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</si>
  <si>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</si>
  <si>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</si>
  <si>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</si>
  <si>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</si>
  <si>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</si>
  <si>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</si>
  <si>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</si>
  <si>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</si>
  <si>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</si>
  <si>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</si>
  <si>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</si>
  <si>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</si>
  <si>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</si>
  <si>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</si>
  <si>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</si>
  <si>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</si>
  <si>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</si>
  <si>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</si>
  <si>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</si>
  <si>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</si>
  <si>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</si>
  <si>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</si>
  <si>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</si>
  <si>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</si>
  <si>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</si>
  <si>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</si>
  <si>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</si>
  <si>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</si>
  <si>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</si>
  <si>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</si>
  <si>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</si>
  <si>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</si>
  <si>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</si>
  <si>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</si>
  <si>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</si>
  <si>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</si>
  <si>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</si>
  <si>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</si>
  <si>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</si>
  <si>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</si>
  <si>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</si>
  <si>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</si>
  <si>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</si>
  <si>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</si>
  <si>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</si>
  <si>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</si>
  <si>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</si>
  <si>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</si>
  <si>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</si>
  <si>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</si>
  <si>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</si>
  <si>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</si>
  <si>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</si>
  <si>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</si>
  <si>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</si>
  <si>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</si>
  <si>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</si>
  <si>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</si>
  <si>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</si>
  <si>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</si>
  <si>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</si>
  <si>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</si>
  <si>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</si>
  <si>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</si>
  <si>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</si>
  <si>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</si>
  <si>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</si>
  <si>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</si>
  <si>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</si>
  <si>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</si>
  <si>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</si>
  <si>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</si>
  <si>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</si>
  <si>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</si>
  <si>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</si>
  <si>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</si>
  <si>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</si>
  <si>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</si>
  <si>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</si>
  <si>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</si>
  <si>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</si>
  <si>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</si>
  <si>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</si>
  <si>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</si>
  <si>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</si>
  <si>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</si>
  <si>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</si>
  <si>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</si>
  <si>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</si>
  <si>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</si>
  <si>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</si>
  <si>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</si>
  <si>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</si>
  <si>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</si>
  <si>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</si>
  <si>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</si>
  <si>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</si>
  <si>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</si>
  <si>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</si>
  <si>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</si>
  <si>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</si>
  <si>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</si>
  <si>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</si>
  <si>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</si>
  <si>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</si>
  <si>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</si>
  <si>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</si>
  <si>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</si>
  <si>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</si>
  <si>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</si>
  <si>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</si>
  <si>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</si>
  <si>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</si>
  <si>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</si>
  <si>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</si>
  <si>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</si>
  <si>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</si>
  <si>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</si>
  <si>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</si>
  <si>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</si>
  <si>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</si>
  <si>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</si>
  <si>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</si>
  <si>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</si>
  <si>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</si>
  <si>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</si>
  <si>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</si>
  <si>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</si>
  <si>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</si>
  <si>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</si>
  <si>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</si>
  <si>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</si>
  <si>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</si>
  <si>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</si>
  <si>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</si>
  <si>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</si>
  <si>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</si>
  <si>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</si>
  <si>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</si>
  <si>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</si>
  <si>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</si>
  <si>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</si>
  <si>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</si>
  <si>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</si>
  <si>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</si>
  <si>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</si>
  <si>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</si>
  <si>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</si>
  <si>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</si>
  <si>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</si>
  <si>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</si>
  <si>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</si>
  <si>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</si>
  <si>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</si>
  <si>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</si>
  <si>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</si>
  <si>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</si>
  <si>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</si>
  <si>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</si>
  <si>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</si>
  <si>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</si>
  <si>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</si>
  <si>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</si>
  <si>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</si>
  <si>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</si>
  <si>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</si>
  <si>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</si>
  <si>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</si>
  <si>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</si>
  <si>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</si>
  <si>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</si>
  <si>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</si>
  <si>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</si>
  <si>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</si>
  <si>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</si>
  <si>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</si>
  <si>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</si>
  <si>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</si>
  <si>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</si>
  <si>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</si>
  <si>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</si>
  <si>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</si>
  <si>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</si>
  <si>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</si>
  <si>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</si>
  <si>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</si>
  <si>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</si>
  <si>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</si>
  <si>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</si>
  <si>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</si>
  <si>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</si>
  <si>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</si>
  <si>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</si>
  <si>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</si>
  <si>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</si>
  <si>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</si>
  <si>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</si>
  <si>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</si>
  <si>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</si>
  <si>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</si>
  <si>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</si>
  <si>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</si>
  <si>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</si>
  <si>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</si>
  <si>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</si>
  <si>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</si>
  <si>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</si>
  <si>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</si>
  <si>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</si>
  <si>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</si>
  <si>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</si>
  <si>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</si>
  <si>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</si>
  <si>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</si>
  <si>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</si>
  <si>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</si>
  <si>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</si>
  <si>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</si>
  <si>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</si>
  <si>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</si>
  <si>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</si>
  <si>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</si>
  <si>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</si>
  <si>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</si>
  <si>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</si>
  <si>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</si>
  <si>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</si>
  <si>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</si>
  <si>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</si>
  <si>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</si>
  <si>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</si>
  <si>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</si>
  <si>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</si>
  <si>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</si>
  <si>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</si>
  <si>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</si>
  <si>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</si>
  <si>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</si>
  <si>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</si>
  <si>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</si>
  <si>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</si>
  <si>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</si>
  <si>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</si>
  <si>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</si>
  <si>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</si>
  <si>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</si>
  <si>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</si>
  <si>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</si>
  <si>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</si>
  <si>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</si>
  <si>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</si>
  <si>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</si>
  <si>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</si>
  <si>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</si>
  <si>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</si>
  <si>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</si>
  <si>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</si>
  <si>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</si>
  <si>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</si>
  <si>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</si>
  <si>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</si>
  <si>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</si>
  <si>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</si>
  <si>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</si>
  <si>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</si>
  <si>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</si>
  <si>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</si>
  <si>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</si>
  <si>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</si>
  <si>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</si>
  <si>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</si>
  <si>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</si>
  <si>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</si>
  <si>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</si>
  <si>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</si>
  <si>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</si>
  <si>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</si>
  <si>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</si>
  <si>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</si>
  <si>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</si>
  <si>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</si>
  <si>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</si>
  <si>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</si>
  <si>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</si>
  <si>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</si>
  <si>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</si>
  <si>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</si>
  <si>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</si>
  <si>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</si>
  <si>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</si>
  <si>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</si>
  <si>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</si>
  <si>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</si>
  <si>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</si>
  <si>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</si>
  <si>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</si>
  <si>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</si>
  <si>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</si>
  <si>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</si>
  <si>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</si>
  <si>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</si>
  <si>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</si>
  <si>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</si>
  <si>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</si>
  <si>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</si>
  <si>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</si>
  <si>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</si>
  <si>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</si>
  <si>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</si>
  <si>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</si>
  <si>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</si>
  <si>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</si>
  <si>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</si>
  <si>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</si>
  <si>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</si>
  <si>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</si>
  <si>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</si>
  <si>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</si>
  <si>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</si>
  <si>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</si>
  <si>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</si>
  <si>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</si>
  <si>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</si>
  <si>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</si>
  <si>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</si>
  <si>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</si>
  <si>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</si>
  <si>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</si>
  <si>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</si>
  <si>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</si>
  <si>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</si>
  <si>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</si>
  <si>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</si>
  <si>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</si>
  <si>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</si>
  <si>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</si>
  <si>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</si>
  <si>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</si>
  <si>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</si>
  <si>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</si>
  <si>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</si>
  <si>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</si>
  <si>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</si>
  <si>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</si>
  <si>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</si>
  <si>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</si>
  <si>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</si>
  <si>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</si>
  <si>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</si>
  <si>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</si>
  <si>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</si>
  <si>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</si>
  <si>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</si>
  <si>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</si>
  <si>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</si>
  <si>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</si>
  <si>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</si>
  <si>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</si>
  <si>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</si>
  <si>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</si>
  <si>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</si>
  <si>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</si>
  <si>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</si>
  <si>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</si>
  <si>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</si>
  <si>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</si>
  <si>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</si>
  <si>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</si>
  <si>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</si>
  <si>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</si>
  <si>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</si>
  <si>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</si>
  <si>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</si>
  <si>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</si>
  <si>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</si>
  <si>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</si>
  <si>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</si>
  <si>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</si>
  <si>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</si>
  <si>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</si>
  <si>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</si>
  <si>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</si>
  <si>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</si>
  <si>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</si>
  <si>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</si>
  <si>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</si>
  <si>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</si>
  <si>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</si>
  <si>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</si>
  <si>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</si>
  <si>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</si>
  <si>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</si>
  <si>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</si>
  <si>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</si>
  <si>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</si>
  <si>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</si>
  <si>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</si>
  <si>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</si>
  <si>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</si>
  <si>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</si>
  <si>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</si>
  <si>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</si>
  <si>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</si>
  <si>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</si>
  <si>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</si>
  <si>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</si>
  <si>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</si>
  <si>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</si>
  <si>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</si>
  <si>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</si>
  <si>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</si>
  <si>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</si>
  <si>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</si>
  <si>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</si>
  <si>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</si>
  <si>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</si>
  <si>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</si>
  <si>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</si>
  <si>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</si>
  <si>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</si>
  <si>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</si>
  <si>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</si>
  <si>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</si>
  <si>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</si>
  <si>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</si>
  <si>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</si>
  <si>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</si>
  <si>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</si>
  <si>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</si>
  <si>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</si>
  <si>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</si>
  <si>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</si>
  <si>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</si>
  <si>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</si>
  <si>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</si>
  <si>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</si>
  <si>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</si>
  <si>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</si>
  <si>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</si>
  <si>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</si>
  <si>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</si>
  <si>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</si>
  <si>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</si>
  <si>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</si>
  <si>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</si>
  <si>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</si>
  <si>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</si>
  <si>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</si>
  <si>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</si>
  <si>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</si>
  <si>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</si>
  <si>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</si>
  <si>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</si>
  <si>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</si>
  <si>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</si>
  <si>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</si>
  <si>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</si>
  <si>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</si>
  <si>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</si>
  <si>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</si>
  <si>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</si>
  <si>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</si>
  <si>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</si>
  <si>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</si>
  <si>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</si>
  <si>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</si>
  <si>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</si>
  <si>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</si>
  <si>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</si>
  <si>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</si>
  <si>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</si>
  <si>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</si>
  <si>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</si>
  <si>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</si>
  <si>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</si>
  <si>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</si>
  <si>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</si>
  <si>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</si>
  <si>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</si>
  <si>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</si>
  <si>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</si>
  <si>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</si>
  <si>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</si>
  <si>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</si>
  <si>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</si>
  <si>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</si>
  <si>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</si>
  <si>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</si>
  <si>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</si>
  <si>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</si>
  <si>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</si>
  <si>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</si>
  <si>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</si>
  <si>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</si>
  <si>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</si>
  <si>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</si>
  <si>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</si>
  <si>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</si>
  <si>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</si>
  <si>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</si>
  <si>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</si>
  <si>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</si>
  <si>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</si>
  <si>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</si>
  <si>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</si>
  <si>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</si>
  <si>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</si>
  <si>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</si>
  <si>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</si>
  <si>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</si>
  <si>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</si>
  <si>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</si>
  <si>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</si>
  <si>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</si>
  <si>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</si>
  <si>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</si>
  <si>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</si>
  <si>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</si>
  <si>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</si>
  <si>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</si>
  <si>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</si>
  <si>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</si>
  <si>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</si>
  <si>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</si>
  <si>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</si>
  <si>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</si>
  <si>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</si>
  <si>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</si>
  <si>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</si>
  <si>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</si>
  <si>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</si>
  <si>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</si>
  <si>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</si>
  <si>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</si>
  <si>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</si>
  <si>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</si>
  <si>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</si>
  <si>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</si>
  <si>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</si>
  <si>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</si>
  <si>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</si>
  <si>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</si>
  <si>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</si>
  <si>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</si>
  <si>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</si>
  <si>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</si>
  <si>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</si>
  <si>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</si>
  <si>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</si>
  <si>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</si>
  <si>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</si>
  <si>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</si>
  <si>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</si>
  <si>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</si>
  <si>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</si>
  <si>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</si>
  <si>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</si>
  <si>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</si>
  <si>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</si>
  <si>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</si>
  <si>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</si>
  <si>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</si>
  <si>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</si>
  <si>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</si>
  <si>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</si>
  <si>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</si>
  <si>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</si>
  <si>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</si>
  <si>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</si>
  <si>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</si>
  <si>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</si>
  <si>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</si>
  <si>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</si>
  <si>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</si>
  <si>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</si>
  <si>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</si>
  <si>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</si>
  <si>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</si>
  <si>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</si>
  <si>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</si>
  <si>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</si>
  <si>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</si>
  <si>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</si>
  <si>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</si>
  <si>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</si>
  <si>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</si>
  <si>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</si>
  <si>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</si>
  <si>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</si>
  <si>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</si>
  <si>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</si>
  <si>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</si>
  <si>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</si>
  <si>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</si>
  <si>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</si>
  <si>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</si>
  <si>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</si>
  <si>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</si>
  <si>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</si>
  <si>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</si>
  <si>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</si>
  <si>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</si>
  <si>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</si>
  <si>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</si>
  <si>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</si>
  <si>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</si>
  <si>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</si>
  <si>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</si>
  <si>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</si>
  <si>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</si>
  <si>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</si>
  <si>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</si>
  <si>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</si>
  <si>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</si>
  <si>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</si>
  <si>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</si>
  <si>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</si>
  <si>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</si>
  <si>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</si>
  <si>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</si>
  <si>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</si>
  <si>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</si>
  <si>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</si>
  <si>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</si>
  <si>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</si>
  <si>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</si>
  <si>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</si>
  <si>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</si>
  <si>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</si>
  <si>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</si>
  <si>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</si>
  <si>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</si>
  <si>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</si>
  <si>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</si>
  <si>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</si>
  <si>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</si>
  <si>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</si>
  <si>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</si>
  <si>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</si>
  <si>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</si>
  <si>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</si>
  <si>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</si>
  <si>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</si>
  <si>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</si>
  <si>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</si>
  <si>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</si>
  <si>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</si>
  <si>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</si>
  <si>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</si>
  <si>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</si>
  <si>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</si>
  <si>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</si>
  <si>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</si>
  <si>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</si>
  <si>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</si>
  <si>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</si>
  <si>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</si>
  <si>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</si>
  <si>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</si>
  <si>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</si>
  <si>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</si>
  <si>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</si>
  <si>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</si>
  <si>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</si>
  <si>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</si>
  <si>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</si>
  <si>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</si>
  <si>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</si>
  <si>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</si>
  <si>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</si>
  <si>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</si>
  <si>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</si>
  <si>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</si>
  <si>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</si>
  <si>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</si>
  <si>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</si>
  <si>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</si>
  <si>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</si>
  <si>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</si>
  <si>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</si>
  <si>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</si>
  <si>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</si>
  <si>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</si>
  <si>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</si>
  <si>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</si>
  <si>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</si>
  <si>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</si>
  <si>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</si>
  <si>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</si>
  <si>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</si>
  <si>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</si>
  <si>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</si>
  <si>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</si>
  <si>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</si>
  <si>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</si>
  <si>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</si>
  <si>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</si>
  <si>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</si>
  <si>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</si>
  <si>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</si>
  <si>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</si>
  <si>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</si>
  <si>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</si>
  <si>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</si>
  <si>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</si>
  <si>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</si>
  <si>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</si>
  <si>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</si>
  <si>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</si>
  <si>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</si>
  <si>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</si>
  <si>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</si>
  <si>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</si>
  <si>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</si>
  <si>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</si>
  <si>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</si>
  <si>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</si>
  <si>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</si>
  <si>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</si>
  <si>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</si>
  <si>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</si>
  <si>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</si>
  <si>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</si>
  <si>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</si>
  <si>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</si>
  <si>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</si>
  <si>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</si>
  <si>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</si>
  <si>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</si>
  <si>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</si>
  <si>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</si>
  <si>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</si>
  <si>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</si>
  <si>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</si>
  <si>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</si>
  <si>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</si>
  <si>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</si>
  <si>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</si>
  <si>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</si>
  <si>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</si>
  <si>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</si>
  <si>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</si>
  <si>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</si>
  <si>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</si>
  <si>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</si>
  <si>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</si>
  <si>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</si>
  <si>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</si>
  <si>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</si>
  <si>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</si>
  <si>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</si>
  <si>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</si>
  <si>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</si>
  <si>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</si>
  <si>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</si>
  <si>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</si>
  <si>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</si>
  <si>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</si>
  <si>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</si>
  <si>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</si>
  <si>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</si>
  <si>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</si>
  <si>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</si>
  <si>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</si>
  <si>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</si>
  <si>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</si>
  <si>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</si>
  <si>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</si>
  <si>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</si>
  <si>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</si>
  <si>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</si>
  <si>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</si>
  <si>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</si>
  <si>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</si>
  <si>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</si>
  <si>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</si>
  <si>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</si>
  <si>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</si>
  <si>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</si>
  <si>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</si>
  <si>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</si>
  <si>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</si>
  <si>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</si>
  <si>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</si>
  <si>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</si>
  <si>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</si>
  <si>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</si>
  <si>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</si>
  <si>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</si>
  <si>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</si>
  <si>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</si>
  <si>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</si>
  <si>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</si>
  <si>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</si>
  <si>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</si>
  <si>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</si>
  <si>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</si>
  <si>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</si>
  <si>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</si>
  <si>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</si>
  <si>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</si>
  <si>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</si>
  <si>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</si>
  <si>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</si>
  <si>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</si>
  <si>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</si>
  <si>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</si>
  <si>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</si>
  <si>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</si>
  <si>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</si>
  <si>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</si>
  <si>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</si>
  <si>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</si>
  <si>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</si>
  <si>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</si>
  <si>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</si>
  <si>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</si>
  <si>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</si>
  <si>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</si>
  <si>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</si>
  <si>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</si>
  <si>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</si>
  <si>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</si>
  <si>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</si>
  <si>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</si>
  <si>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</si>
  <si>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</si>
  <si>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</si>
  <si>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</si>
  <si>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</si>
  <si>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</si>
  <si>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</si>
  <si>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</si>
  <si>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</si>
  <si>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</si>
  <si>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</si>
  <si>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</si>
  <si>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</si>
  <si>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</si>
  <si>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</si>
  <si>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</si>
  <si>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</si>
  <si>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</si>
  <si>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</si>
  <si>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</si>
  <si>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</si>
  <si>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</si>
  <si>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</si>
  <si>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</si>
  <si>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</si>
  <si>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</si>
  <si>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</si>
  <si>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</si>
  <si>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</si>
  <si>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</si>
  <si>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</si>
  <si>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</si>
  <si>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</si>
  <si>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</si>
  <si>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</si>
  <si>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</si>
  <si>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</si>
  <si>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</si>
  <si>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</si>
  <si>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</si>
  <si>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</si>
  <si>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</si>
  <si>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</si>
  <si>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</si>
  <si>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</si>
  <si>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</si>
  <si>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</si>
  <si>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</si>
  <si>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</si>
  <si>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</si>
  <si>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</si>
  <si>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</si>
  <si>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</si>
  <si>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</si>
  <si>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</si>
  <si>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</si>
  <si>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</si>
  <si>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</si>
  <si>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</si>
  <si>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</si>
  <si>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</si>
  <si>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</si>
  <si>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</si>
  <si>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</si>
  <si>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</si>
  <si>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</si>
  <si>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</si>
  <si>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</si>
  <si>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</si>
  <si>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</si>
  <si>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</si>
  <si>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</si>
  <si>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</si>
  <si>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</si>
  <si>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</si>
  <si>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</si>
  <si>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</si>
  <si>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</si>
  <si>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</si>
  <si>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</si>
  <si>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</si>
  <si>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</si>
  <si>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</si>
  <si>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</si>
  <si>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</si>
  <si>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</si>
  <si>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</si>
  <si>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</si>
  <si>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</si>
  <si>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</si>
  <si>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</si>
  <si>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</si>
  <si>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</si>
  <si>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</si>
  <si>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</si>
  <si>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</si>
  <si>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</si>
  <si>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</si>
  <si>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</si>
  <si>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</si>
  <si>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</si>
  <si>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</si>
  <si>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</si>
  <si>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</si>
  <si>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</si>
  <si>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</si>
  <si>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</si>
  <si>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</si>
  <si>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</si>
  <si>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</si>
  <si>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</si>
  <si>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</si>
  <si>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</si>
  <si>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</si>
  <si>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</si>
  <si>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</si>
  <si>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</si>
  <si>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</si>
  <si>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</si>
  <si>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</si>
  <si>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</si>
  <si>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</si>
  <si>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</si>
  <si>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</si>
  <si>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</si>
  <si>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</si>
  <si>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</si>
  <si>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</si>
  <si>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</si>
  <si>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</si>
  <si>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</si>
  <si>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</si>
  <si>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</si>
  <si>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</si>
  <si>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</si>
  <si>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</si>
  <si>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</si>
  <si>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</si>
  <si>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</si>
  <si>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</si>
  <si>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</si>
  <si>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</si>
  <si>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</si>
  <si>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</si>
  <si>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</si>
  <si>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</si>
  <si>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</si>
  <si>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</si>
  <si>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</si>
  <si>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</si>
  <si>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</si>
  <si>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</si>
  <si>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</si>
  <si>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</si>
  <si>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</si>
  <si>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</si>
  <si>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</si>
  <si>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</si>
  <si>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</si>
  <si>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</si>
  <si>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</si>
  <si>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</si>
  <si>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</si>
  <si>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</si>
  <si>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</si>
  <si>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</si>
  <si>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</si>
  <si>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</si>
  <si>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</si>
  <si>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</si>
  <si>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</si>
  <si>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</si>
  <si>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</si>
  <si>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</si>
  <si>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</si>
  <si>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</si>
  <si>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</si>
  <si>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</si>
  <si>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</si>
  <si>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</si>
  <si>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</si>
  <si>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</si>
  <si>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</si>
  <si>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</si>
  <si>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</si>
  <si>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</si>
  <si>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</si>
  <si>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</si>
  <si>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</si>
  <si>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</si>
  <si>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</si>
  <si>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</si>
  <si>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</si>
  <si>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</si>
  <si>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</si>
  <si>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</si>
  <si>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</si>
  <si>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</si>
  <si>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</si>
  <si>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</si>
  <si>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</si>
  <si>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</si>
  <si>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</si>
  <si>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</si>
  <si>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</si>
  <si>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</si>
  <si>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</si>
  <si>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</si>
  <si>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</si>
  <si>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</si>
  <si>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</si>
  <si>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</si>
  <si>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</si>
  <si>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</si>
  <si>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</si>
  <si>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</si>
  <si>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</si>
  <si>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</si>
  <si>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</si>
  <si>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</si>
  <si>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</si>
  <si>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</si>
  <si>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</si>
  <si>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</si>
  <si>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</si>
  <si>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</si>
  <si>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</si>
  <si>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</si>
  <si>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</si>
  <si>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</si>
  <si>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</si>
  <si>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</si>
  <si>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</si>
  <si>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</si>
  <si>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</si>
  <si>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</si>
  <si>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</si>
  <si>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</si>
  <si>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</si>
  <si>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</si>
  <si>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</si>
  <si>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</si>
  <si>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</si>
  <si>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</si>
  <si>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</si>
  <si>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</si>
  <si>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</si>
  <si>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</si>
  <si>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</si>
  <si>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</si>
  <si>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</si>
  <si>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</si>
  <si>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</si>
  <si>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</si>
  <si>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</si>
  <si>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</si>
  <si>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</si>
  <si>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</si>
  <si>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</si>
  <si>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</si>
  <si>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</si>
  <si>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</si>
  <si>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</si>
  <si>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</si>
  <si>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</si>
  <si>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</si>
  <si>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</si>
  <si>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</si>
  <si>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</si>
  <si>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</si>
  <si>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</si>
  <si>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</si>
  <si>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</si>
  <si>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</si>
  <si>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</si>
  <si>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</si>
  <si>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</si>
  <si>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</si>
  <si>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</si>
  <si>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</si>
  <si>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</si>
  <si>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</si>
  <si>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</si>
  <si>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</si>
  <si>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</si>
  <si>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</si>
  <si>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</si>
  <si>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</si>
  <si>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</si>
  <si>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</si>
  <si>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</si>
  <si>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</si>
  <si>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</si>
  <si>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</si>
  <si>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</si>
  <si>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</si>
  <si>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</si>
  <si>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</si>
  <si>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</si>
  <si>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</si>
  <si>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</si>
  <si>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</si>
  <si>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</si>
  <si>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</si>
  <si>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</si>
  <si>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</si>
  <si>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</si>
  <si>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</si>
  <si>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</si>
  <si>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</si>
  <si>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</si>
  <si>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</si>
  <si>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</si>
  <si>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</si>
  <si>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</si>
  <si>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</si>
  <si>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</si>
  <si>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</si>
  <si>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</si>
  <si>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</si>
  <si>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</si>
  <si>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</si>
  <si>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</si>
  <si>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</si>
  <si>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</si>
  <si>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</si>
  <si>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</si>
  <si>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</si>
  <si>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</si>
  <si>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</si>
  <si>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</si>
  <si>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</si>
  <si>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</si>
  <si>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</si>
  <si>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</si>
  <si>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</si>
  <si>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</si>
  <si>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</si>
  <si>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</si>
  <si>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</si>
  <si>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</si>
  <si>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</si>
  <si>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</si>
  <si>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</si>
  <si>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</si>
  <si>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</si>
  <si>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</si>
  <si>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</si>
  <si>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</si>
  <si>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</si>
  <si>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</si>
  <si>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</si>
  <si>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</si>
  <si>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</si>
  <si>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</si>
  <si>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</si>
  <si>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</si>
  <si>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</si>
  <si>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</si>
  <si>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</si>
  <si>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</si>
  <si>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</si>
  <si>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</si>
  <si>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</si>
  <si>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</si>
  <si>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</si>
  <si>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</si>
  <si>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</si>
  <si>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</si>
  <si>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</si>
  <si>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</si>
  <si>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</si>
  <si>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</si>
  <si>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</si>
  <si>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</si>
  <si>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</si>
  <si>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</si>
  <si>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</si>
  <si>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</si>
  <si>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</si>
  <si>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</si>
  <si>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</si>
  <si>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</si>
  <si>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</si>
  <si>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</si>
  <si>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</si>
  <si>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</si>
  <si>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</si>
  <si>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</si>
  <si>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</si>
  <si>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</si>
  <si>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</si>
  <si>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</si>
  <si>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</si>
  <si>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</si>
  <si>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</si>
  <si>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</si>
  <si>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</si>
  <si>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</si>
  <si>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</si>
  <si>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</si>
  <si>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</si>
  <si>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</si>
  <si>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</si>
  <si>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</si>
  <si>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</si>
  <si>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</si>
  <si>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</si>
  <si>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</si>
  <si>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</si>
  <si>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</si>
  <si>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</si>
  <si>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</si>
  <si>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</si>
  <si>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</si>
  <si>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</si>
  <si>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</si>
  <si>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</si>
  <si>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</si>
  <si>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</si>
  <si>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</si>
  <si>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</si>
  <si>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</si>
  <si>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</si>
  <si>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</si>
  <si>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</si>
  <si>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</si>
  <si>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</si>
  <si>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</si>
  <si>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</si>
  <si>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</si>
  <si>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</si>
  <si>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</si>
  <si>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</si>
  <si>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</si>
  <si>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</si>
  <si>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</si>
  <si>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</si>
  <si>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</si>
  <si>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</si>
  <si>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</si>
  <si>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</si>
  <si>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</si>
  <si>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</si>
  <si>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</si>
  <si>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</si>
  <si>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</si>
  <si>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</si>
  <si>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</si>
  <si>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</si>
  <si>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</si>
  <si>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</si>
  <si>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</si>
  <si>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</si>
  <si>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</si>
  <si>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</si>
  <si>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</si>
  <si>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</si>
  <si>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</si>
  <si>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</si>
  <si>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</si>
  <si>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</si>
  <si>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</si>
  <si>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</si>
  <si>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</si>
  <si>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</si>
  <si>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</si>
  <si>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</si>
  <si>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</si>
  <si>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</si>
  <si>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</si>
  <si>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</si>
  <si>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</si>
  <si>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</si>
  <si>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</si>
  <si>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</si>
  <si>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</si>
  <si>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</si>
  <si>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</si>
  <si>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</si>
  <si>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</si>
  <si>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</si>
  <si>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</si>
  <si>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</si>
  <si>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</si>
  <si>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</si>
  <si>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</si>
  <si>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</si>
  <si>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</si>
  <si>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</si>
  <si>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</si>
  <si>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</si>
  <si>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</si>
  <si>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</si>
  <si>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</si>
  <si>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</si>
  <si>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</si>
  <si>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</si>
  <si>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</si>
  <si>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</si>
  <si>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</si>
  <si>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</si>
  <si>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</si>
  <si>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</si>
  <si>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</si>
  <si>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</si>
  <si>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</si>
  <si>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</si>
  <si>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</si>
  <si>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</si>
  <si>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</si>
  <si>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</si>
  <si>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</si>
  <si>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</si>
  <si>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</si>
  <si>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</si>
  <si>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</si>
  <si>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</si>
  <si>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</si>
  <si>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</si>
  <si>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</si>
  <si>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</si>
  <si>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</si>
  <si>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</si>
  <si>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</si>
  <si>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</si>
  <si>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</si>
  <si>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</si>
  <si>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</si>
  <si>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</si>
  <si>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</si>
  <si>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</si>
  <si>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</si>
  <si>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</si>
  <si>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</si>
  <si>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</si>
  <si>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</si>
  <si>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</si>
  <si>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</si>
  <si>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</si>
  <si>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</si>
  <si>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</si>
  <si>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</si>
  <si>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</si>
  <si>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</si>
  <si>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</si>
  <si>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</si>
  <si>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</si>
  <si>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</si>
  <si>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</si>
  <si>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</si>
  <si>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</si>
  <si>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</si>
  <si>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</si>
  <si>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</si>
  <si>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</si>
  <si>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</si>
  <si>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</si>
  <si>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</si>
  <si>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</si>
  <si>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</si>
  <si>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</si>
  <si>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</si>
  <si>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</si>
  <si>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</si>
  <si>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</si>
  <si>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</si>
  <si>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</si>
  <si>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</si>
  <si>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</si>
  <si>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</si>
  <si>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</si>
  <si>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</si>
  <si>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</si>
  <si>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</si>
  <si>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</si>
  <si>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</si>
  <si>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</si>
  <si>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</si>
  <si>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</si>
  <si>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</si>
  <si>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</si>
  <si>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</si>
  <si>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</si>
  <si>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</si>
  <si>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</si>
  <si>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</si>
  <si>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</si>
  <si>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</si>
  <si>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</si>
  <si>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</si>
  <si>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</si>
  <si>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</si>
  <si>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</si>
  <si>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</si>
  <si>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</si>
  <si>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</si>
  <si>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</si>
  <si>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</si>
  <si>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</si>
  <si>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</si>
  <si>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</si>
  <si>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</si>
  <si>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</si>
  <si>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</si>
  <si>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</si>
  <si>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</si>
  <si>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</si>
  <si>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</si>
  <si>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</si>
  <si>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</si>
  <si>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</si>
  <si>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</si>
  <si>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</si>
  <si>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</si>
  <si>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</si>
  <si>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</si>
  <si>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</si>
  <si>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</si>
  <si>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</si>
  <si>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</si>
  <si>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</si>
  <si>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</si>
  <si>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</si>
  <si>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</si>
  <si>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</si>
  <si>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</si>
  <si>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</si>
  <si>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</si>
  <si>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</si>
  <si>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</si>
  <si>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</si>
  <si>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</si>
  <si>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</si>
  <si>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</si>
  <si>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</si>
  <si>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</si>
  <si>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</si>
  <si>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</si>
  <si>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</si>
  <si>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</si>
  <si>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</si>
  <si>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</si>
  <si>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</si>
  <si>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</si>
  <si>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</si>
  <si>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</si>
  <si>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</si>
  <si>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</si>
  <si>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</si>
  <si>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</si>
  <si>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</si>
  <si>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</si>
  <si>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</si>
  <si>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</si>
  <si>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</si>
  <si>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</si>
  <si>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</si>
  <si>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</si>
  <si>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</si>
  <si>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</si>
  <si>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</si>
  <si>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</si>
  <si>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</si>
  <si>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</si>
  <si>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</si>
  <si>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</si>
  <si>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</si>
  <si>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</si>
  <si>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</si>
  <si>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</si>
  <si>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</si>
  <si>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</si>
  <si>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</si>
  <si>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</si>
  <si>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</si>
  <si>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</si>
  <si>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</si>
  <si>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</si>
  <si>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</si>
  <si>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</si>
  <si>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</si>
  <si>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</si>
  <si>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</si>
  <si>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</si>
  <si>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</si>
  <si>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</si>
  <si>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</si>
  <si>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</si>
  <si>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</si>
  <si>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</si>
  <si>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</si>
  <si>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</si>
  <si>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</si>
  <si>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</si>
  <si>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</si>
  <si>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</si>
  <si>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</si>
  <si>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</si>
  <si>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</si>
  <si>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</si>
  <si>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</si>
  <si>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</si>
  <si>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</si>
  <si>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</si>
  <si>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</si>
  <si>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</si>
  <si>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</si>
  <si>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</si>
  <si>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</si>
  <si>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</si>
  <si>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</si>
  <si>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</si>
  <si>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</si>
  <si>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</si>
  <si>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</si>
  <si>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</si>
  <si>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</si>
  <si>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</si>
  <si>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</si>
  <si>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</si>
  <si>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</si>
  <si>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</si>
  <si>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</si>
  <si>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</si>
  <si>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</si>
  <si>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</si>
  <si>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</si>
  <si>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</si>
  <si>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</si>
  <si>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</si>
  <si>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</si>
  <si>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</si>
  <si>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</si>
  <si>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</si>
  <si>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</si>
  <si>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</si>
  <si>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</si>
  <si>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</si>
  <si>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</si>
  <si>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</si>
  <si>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</si>
  <si>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</si>
  <si>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</si>
  <si>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</si>
  <si>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</si>
  <si>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</si>
  <si>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</si>
  <si>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</si>
  <si>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</si>
  <si>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</si>
  <si>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</si>
  <si>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</si>
  <si>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</si>
  <si>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</si>
  <si>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</si>
  <si>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</si>
  <si>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</si>
  <si>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</si>
  <si>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</si>
  <si>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</si>
  <si>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</si>
  <si>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</si>
  <si>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</si>
  <si>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</si>
  <si>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</si>
  <si>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</si>
  <si>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</si>
  <si>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</si>
  <si>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</si>
  <si>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</si>
  <si>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</si>
  <si>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</si>
  <si>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</si>
  <si>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</si>
  <si>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</si>
  <si>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</si>
  <si>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</si>
  <si>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</si>
  <si>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</si>
  <si>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</si>
  <si>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</si>
  <si>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</si>
  <si>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</si>
  <si>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</si>
  <si>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</si>
  <si>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</si>
  <si>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</si>
  <si>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</si>
  <si>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</si>
  <si>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</si>
  <si>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</si>
  <si>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</si>
  <si>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</si>
  <si>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</si>
  <si>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</si>
  <si>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</si>
  <si>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</si>
  <si>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</si>
  <si>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</si>
  <si>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</si>
  <si>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</si>
  <si>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</si>
  <si>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</si>
  <si>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</si>
  <si>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</si>
  <si>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</si>
  <si>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</si>
  <si>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</si>
  <si>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</si>
  <si>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</si>
  <si>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</si>
  <si>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</si>
  <si>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</si>
  <si>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</si>
  <si>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</si>
  <si>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</si>
  <si>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</si>
  <si>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</si>
  <si>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</si>
  <si>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</si>
  <si>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</si>
  <si>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</si>
  <si>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</si>
  <si>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</si>
  <si>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</si>
  <si>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</si>
  <si>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</si>
  <si>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</si>
  <si>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</si>
  <si>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</si>
  <si>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</si>
  <si>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</si>
  <si>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</si>
  <si>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</si>
  <si>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</si>
  <si>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</si>
  <si>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</si>
  <si>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</si>
  <si>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</si>
  <si>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</si>
  <si>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</si>
  <si>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</si>
  <si>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</si>
  <si>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</si>
  <si>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</si>
  <si>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</si>
  <si>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</si>
  <si>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</si>
  <si>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</si>
  <si>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</si>
  <si>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</si>
  <si>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</si>
  <si>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</si>
  <si>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</si>
  <si>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</si>
  <si>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</si>
  <si>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</si>
  <si>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</si>
  <si>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</si>
  <si>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</si>
  <si>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</si>
  <si>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</si>
  <si>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</si>
  <si>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</si>
  <si>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</si>
  <si>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</si>
  <si>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</si>
  <si>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</si>
  <si>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</si>
  <si>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</si>
  <si>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</si>
  <si>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</si>
  <si>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</si>
  <si>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</si>
  <si>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</si>
  <si>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</si>
  <si>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</si>
  <si>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</si>
  <si>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</si>
  <si>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</si>
  <si>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</si>
  <si>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</si>
  <si>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</si>
  <si>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</si>
  <si>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</si>
  <si>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</si>
  <si>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</si>
  <si>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</si>
  <si>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</si>
  <si>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</si>
  <si>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</si>
  <si>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</si>
  <si>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</si>
  <si>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</si>
  <si>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</si>
  <si>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</si>
  <si>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</si>
  <si>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</si>
  <si>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</si>
  <si>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</si>
  <si>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</si>
  <si>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</si>
  <si>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</si>
  <si>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</si>
  <si>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</si>
  <si>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</si>
  <si>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</si>
  <si>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</si>
  <si>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</si>
  <si>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</si>
  <si>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</si>
  <si>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</si>
  <si>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</si>
  <si>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</si>
  <si>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</si>
  <si>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</si>
  <si>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</si>
  <si>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</si>
  <si>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</si>
  <si>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</si>
  <si>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</si>
  <si>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</si>
  <si>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</si>
  <si>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</si>
  <si>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</si>
  <si>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</si>
  <si>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</si>
  <si>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</si>
  <si>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</si>
  <si>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</si>
  <si>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</si>
  <si>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</si>
  <si>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</si>
  <si>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</si>
  <si>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</si>
  <si>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</si>
  <si>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</si>
  <si>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</si>
  <si>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</si>
  <si>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</si>
  <si>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</si>
  <si>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</si>
  <si>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</si>
  <si>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</si>
  <si>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</si>
  <si>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</si>
  <si>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</si>
  <si>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</si>
  <si>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</si>
  <si>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</si>
  <si>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</si>
  <si>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</si>
  <si>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</si>
  <si>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</si>
  <si>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</si>
  <si>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</si>
  <si>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</si>
  <si>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</si>
  <si>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</si>
  <si>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</si>
  <si>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</si>
  <si>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</si>
  <si>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</si>
  <si>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</si>
  <si>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</si>
  <si>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</si>
  <si>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</si>
  <si>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</si>
  <si>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</si>
  <si>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</si>
  <si>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</si>
  <si>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</si>
  <si>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</si>
  <si>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</si>
  <si>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</si>
  <si>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</si>
  <si>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</si>
  <si>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</si>
  <si>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</si>
  <si>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</si>
  <si>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</si>
  <si>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</si>
  <si>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</si>
  <si>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</si>
  <si>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</si>
  <si>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</si>
  <si>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</si>
  <si>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</si>
  <si>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</si>
  <si>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</si>
  <si>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</si>
  <si>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</si>
  <si>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</si>
  <si>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</si>
  <si>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</si>
  <si>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</si>
  <si>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</si>
  <si>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</si>
  <si>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</si>
  <si>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</si>
  <si>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</si>
  <si>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</si>
  <si>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</si>
  <si>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</si>
  <si>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</si>
  <si>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</si>
  <si>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</si>
  <si>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</si>
  <si>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</si>
  <si>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</si>
  <si>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</si>
  <si>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</si>
  <si>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</si>
  <si>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</si>
  <si>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</si>
  <si>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</si>
  <si>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</si>
  <si>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</si>
  <si>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</si>
  <si>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</si>
  <si>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</si>
  <si>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</si>
  <si>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</si>
  <si>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</si>
  <si>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</si>
  <si>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</si>
  <si>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</si>
  <si>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</si>
  <si>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</si>
  <si>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</si>
  <si>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</si>
  <si>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</si>
  <si>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</si>
  <si>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</si>
  <si>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</si>
  <si>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</si>
  <si>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</si>
  <si>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</si>
  <si>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</si>
  <si>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</si>
  <si>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</si>
  <si>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</si>
  <si>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</si>
  <si>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</si>
  <si>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</si>
  <si>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</si>
  <si>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</si>
  <si>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</si>
  <si>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</si>
  <si>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</si>
  <si>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</si>
  <si>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</si>
  <si>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</si>
  <si>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</si>
  <si>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</si>
  <si>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</si>
  <si>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</si>
  <si>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</si>
  <si>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</si>
  <si>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</si>
  <si>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</si>
  <si>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</si>
  <si>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</si>
  <si>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</si>
  <si>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</si>
  <si>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</si>
  <si>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</si>
  <si>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</si>
  <si>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</si>
  <si>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</si>
  <si>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</si>
  <si>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</si>
  <si>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</si>
  <si>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</si>
  <si>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</si>
  <si>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</si>
  <si>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</si>
  <si>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</si>
  <si>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</si>
  <si>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</si>
  <si>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</si>
  <si>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</si>
  <si>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</si>
  <si>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</si>
  <si>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</si>
  <si>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</si>
  <si>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</si>
  <si>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</si>
  <si>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</si>
  <si>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</si>
  <si>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</si>
  <si>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</si>
  <si>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</si>
  <si>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</si>
  <si>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</si>
  <si>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</si>
  <si>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</si>
  <si>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</si>
  <si>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</si>
  <si>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</si>
  <si>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</si>
  <si>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</si>
  <si>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</si>
  <si>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</si>
  <si>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</si>
  <si>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</si>
  <si>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</si>
  <si>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</si>
  <si>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</si>
  <si>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</si>
  <si>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</si>
  <si>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</si>
  <si>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</si>
  <si>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</si>
  <si>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</si>
  <si>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</si>
  <si>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</si>
  <si>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</si>
  <si>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</si>
  <si>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</si>
  <si>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</si>
  <si>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</si>
  <si>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</si>
  <si>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</si>
  <si>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</si>
  <si>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</si>
  <si>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</si>
  <si>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</si>
  <si>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</si>
  <si>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</si>
  <si>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</si>
  <si>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</si>
  <si>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</si>
  <si>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</si>
  <si>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</si>
  <si>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</si>
  <si>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</si>
  <si>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</si>
  <si>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</si>
  <si>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</si>
  <si>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</si>
  <si>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</si>
  <si>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</si>
  <si>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</si>
  <si>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</si>
  <si>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</si>
  <si>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</si>
  <si>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</si>
  <si>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</si>
  <si>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</si>
  <si>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</si>
  <si>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</si>
  <si>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</si>
  <si>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</si>
  <si>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</si>
  <si>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</si>
  <si>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</si>
  <si>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</si>
  <si>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</si>
  <si>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</si>
  <si>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</si>
  <si>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</si>
  <si>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</si>
  <si>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</si>
  <si>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</si>
  <si>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</si>
  <si>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</si>
  <si>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</si>
  <si>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</si>
  <si>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</si>
  <si>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</si>
  <si>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</si>
  <si>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</si>
  <si>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</si>
  <si>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</si>
  <si>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</si>
  <si>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</si>
  <si>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</si>
  <si>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</si>
  <si>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</si>
  <si>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</si>
  <si>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</si>
  <si>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</si>
  <si>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</si>
  <si>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</si>
  <si>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</si>
  <si>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</si>
  <si>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</si>
  <si>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</si>
  <si>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</si>
  <si>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</si>
  <si>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</si>
  <si>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</si>
  <si>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</si>
  <si>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</si>
  <si>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</si>
  <si>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</si>
  <si>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</si>
  <si>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</si>
  <si>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</si>
  <si>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</si>
  <si>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</si>
  <si>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</si>
  <si>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</si>
  <si>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</si>
  <si>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</si>
  <si>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</si>
  <si>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</si>
  <si>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</si>
  <si>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</si>
  <si>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</si>
  <si>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</si>
  <si>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</si>
  <si>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</si>
  <si>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</si>
  <si>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</si>
  <si>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</si>
  <si>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</si>
  <si>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</si>
  <si>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</si>
  <si>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</si>
  <si>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</si>
  <si>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</si>
  <si>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</si>
  <si>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</si>
  <si>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</si>
  <si>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</si>
  <si>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</si>
  <si>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</si>
  <si>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</si>
  <si>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</si>
  <si>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</si>
  <si>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</si>
  <si>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</si>
  <si>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</si>
  <si>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</si>
  <si>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</si>
  <si>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</si>
  <si>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</si>
  <si>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</si>
  <si>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</si>
  <si>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</si>
  <si>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</si>
  <si>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</si>
  <si>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</si>
  <si>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</si>
  <si>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</si>
  <si>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</si>
  <si>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</si>
  <si>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</si>
  <si>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</si>
  <si>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</si>
  <si>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</si>
  <si>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</si>
  <si>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</si>
  <si>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</si>
  <si>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</si>
  <si>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</si>
  <si>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</si>
  <si>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</si>
  <si>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</si>
  <si>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</si>
  <si>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</si>
  <si>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</si>
  <si>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</si>
  <si>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</si>
  <si>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</si>
  <si>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</si>
  <si>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</si>
  <si>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</si>
  <si>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</si>
  <si>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</si>
  <si>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</si>
  <si>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</si>
  <si>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</si>
  <si>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</si>
  <si>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</si>
  <si>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</si>
  <si>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</si>
  <si>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</si>
  <si>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</si>
  <si>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</si>
  <si>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</si>
  <si>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</si>
  <si>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</si>
  <si>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</si>
  <si>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</si>
  <si>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</si>
  <si>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</si>
  <si>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</si>
  <si>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</si>
  <si>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</si>
  <si>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</si>
  <si>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</si>
  <si>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</si>
  <si>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</si>
  <si>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</si>
  <si>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</si>
  <si>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</si>
  <si>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</si>
  <si>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</si>
  <si>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</si>
  <si>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</si>
  <si>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</si>
  <si>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</si>
  <si>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</si>
  <si>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</si>
  <si>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</si>
  <si>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</si>
  <si>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</si>
  <si>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</si>
  <si>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</si>
  <si>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</si>
  <si>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</si>
  <si>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</si>
  <si>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</si>
  <si>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</si>
  <si>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</si>
  <si>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</si>
  <si>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</si>
  <si>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</si>
  <si>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</si>
  <si>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</si>
  <si>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</si>
  <si>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</si>
  <si>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</si>
  <si>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</si>
  <si>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</si>
  <si>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</si>
  <si>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</si>
  <si>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</si>
  <si>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</si>
  <si>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</si>
  <si>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</si>
  <si>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</si>
  <si>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</si>
  <si>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</si>
  <si>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</si>
  <si>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</si>
  <si>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</si>
  <si>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</si>
  <si>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</si>
  <si>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</si>
  <si>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</si>
  <si>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</si>
  <si>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</si>
  <si>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</si>
  <si>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</si>
  <si>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</si>
  <si>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</si>
  <si>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</si>
  <si>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</si>
  <si>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</si>
  <si>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</si>
  <si>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</si>
  <si>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</si>
  <si>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</si>
  <si>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</si>
  <si>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</si>
  <si>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</si>
  <si>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</si>
  <si>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</si>
  <si>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</si>
  <si>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</si>
  <si>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</si>
  <si>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</si>
  <si>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</si>
  <si>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</si>
  <si>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</si>
  <si>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</si>
  <si>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</si>
  <si>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</si>
  <si>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</si>
  <si>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</si>
  <si>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</si>
  <si>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</si>
  <si>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</si>
  <si>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</si>
  <si>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</si>
  <si>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</si>
  <si>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</si>
  <si>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</si>
  <si>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</si>
  <si>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</si>
  <si>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</si>
  <si>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</si>
  <si>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</si>
  <si>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</si>
  <si>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</si>
  <si>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</si>
  <si>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</si>
  <si>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</si>
  <si>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</si>
  <si>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</si>
  <si>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</si>
  <si>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</si>
  <si>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</si>
  <si>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</si>
  <si>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</si>
  <si>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</si>
  <si>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</si>
  <si>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</si>
  <si>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</si>
  <si>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</si>
  <si>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</si>
  <si>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</si>
  <si>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</si>
  <si>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</si>
  <si>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</si>
  <si>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</si>
  <si>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</si>
  <si>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</si>
  <si>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</si>
  <si>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</si>
  <si>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</si>
  <si>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</si>
  <si>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</si>
  <si>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</si>
  <si>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</si>
  <si>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</si>
  <si>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</si>
  <si>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</si>
  <si>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</si>
  <si>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</si>
  <si>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</si>
  <si>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</si>
  <si>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</si>
  <si>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</si>
  <si>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</si>
  <si>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</si>
  <si>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</si>
  <si>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</si>
  <si>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</si>
  <si>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</si>
  <si>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</si>
  <si>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</si>
  <si>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</si>
  <si>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</si>
  <si>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</si>
  <si>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</si>
  <si>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</si>
  <si>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</si>
  <si>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</si>
  <si>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</si>
  <si>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</si>
  <si>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</si>
  <si>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</si>
  <si>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</si>
  <si>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</si>
  <si>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</si>
  <si>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</si>
  <si>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</si>
  <si>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</si>
  <si>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</si>
  <si>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</si>
  <si>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</si>
  <si>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</si>
  <si>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</si>
  <si>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</si>
  <si>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</si>
  <si>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</si>
  <si>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</si>
  <si>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</si>
  <si>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</si>
  <si>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</si>
  <si>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</si>
  <si>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</si>
  <si>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</si>
  <si>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</si>
  <si>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</si>
  <si>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</si>
  <si>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</si>
  <si>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</si>
  <si>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</si>
  <si>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</si>
  <si>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</si>
  <si>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</si>
  <si>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</si>
  <si>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</si>
  <si>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</si>
  <si>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</si>
  <si>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</si>
  <si>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</si>
  <si>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</si>
  <si>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</si>
  <si>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</si>
  <si>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</si>
  <si>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</si>
  <si>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</si>
  <si>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</si>
  <si>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</si>
  <si>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</si>
  <si>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</si>
  <si>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</si>
  <si>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</si>
  <si>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</si>
  <si>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</si>
  <si>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</si>
  <si>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</si>
  <si>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</si>
  <si>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</si>
  <si>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</si>
  <si>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</si>
  <si>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</si>
  <si>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</si>
  <si>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</si>
  <si>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</si>
  <si>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</si>
  <si>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</si>
  <si>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</si>
  <si>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</si>
  <si>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</si>
  <si>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</si>
  <si>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</si>
  <si>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</si>
  <si>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</si>
  <si>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</si>
  <si>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</si>
  <si>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</si>
  <si>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</si>
  <si>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</si>
  <si>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</si>
  <si>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</si>
  <si>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</si>
  <si>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</si>
  <si>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</si>
  <si>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</si>
  <si>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</si>
  <si>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</si>
  <si>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</si>
  <si>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</si>
  <si>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</si>
  <si>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</si>
  <si>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</si>
  <si>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</si>
  <si>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</si>
  <si>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</si>
  <si>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</si>
  <si>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</si>
  <si>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</si>
  <si>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</si>
  <si>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</si>
  <si>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</si>
  <si>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</si>
  <si>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</si>
  <si>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</si>
  <si>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</si>
  <si>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</si>
  <si>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</si>
  <si>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</si>
  <si>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</si>
  <si>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</si>
  <si>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</si>
  <si>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</si>
  <si>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</si>
  <si>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</si>
  <si>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</si>
  <si>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</si>
  <si>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</si>
  <si>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</si>
  <si>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</si>
  <si>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</si>
  <si>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</si>
  <si>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</si>
  <si>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</si>
  <si>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</si>
  <si>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</si>
  <si>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</si>
  <si>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</si>
  <si>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</si>
  <si>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</si>
  <si>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</si>
  <si>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</si>
  <si>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</si>
  <si>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</si>
  <si>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</si>
  <si>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</si>
  <si>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</si>
  <si>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</si>
  <si>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</si>
  <si>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</si>
  <si>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</si>
  <si>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</si>
  <si>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</si>
  <si>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</si>
  <si>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</si>
  <si>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</si>
  <si>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</si>
  <si>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</si>
  <si>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</si>
  <si>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</si>
  <si>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</si>
  <si>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</si>
  <si>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</si>
  <si>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</si>
  <si>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</si>
  <si>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</si>
  <si>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</si>
  <si>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</si>
  <si>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</si>
  <si>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</si>
  <si>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</si>
  <si>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</si>
  <si>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</si>
  <si>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</si>
  <si>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</si>
  <si>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</si>
  <si>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</si>
  <si>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</si>
  <si>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</si>
  <si>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</si>
  <si>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</si>
  <si>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</si>
  <si>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</si>
  <si>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</si>
  <si>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</si>
  <si>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</si>
  <si>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</si>
  <si>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</si>
  <si>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</si>
  <si>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</si>
  <si>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</si>
  <si>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</si>
  <si>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</si>
  <si>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</si>
  <si>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</si>
  <si>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</si>
  <si>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</si>
  <si>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</si>
  <si>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</si>
  <si>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</si>
  <si>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</si>
  <si>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</si>
  <si>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</si>
  <si>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</si>
  <si>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</si>
  <si>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</si>
  <si>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</si>
  <si>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</si>
  <si>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</si>
  <si>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</si>
  <si>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</si>
  <si>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</si>
  <si>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</si>
  <si>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</si>
  <si>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</si>
  <si>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</si>
  <si>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</si>
  <si>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</si>
  <si>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</si>
  <si>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</si>
  <si>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</si>
  <si>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</si>
  <si>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</si>
  <si>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</si>
  <si>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</si>
  <si>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</si>
  <si>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</si>
  <si>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</si>
  <si>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</si>
  <si>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</si>
  <si>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</si>
  <si>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</si>
  <si>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</si>
  <si>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</si>
  <si>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</si>
  <si>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</si>
  <si>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</si>
  <si>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</si>
  <si>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</si>
  <si>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</si>
  <si>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</si>
  <si>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</si>
  <si>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</si>
  <si>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</si>
  <si>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</si>
  <si>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</si>
  <si>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</si>
  <si>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</si>
  <si>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</si>
  <si>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</si>
  <si>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</si>
  <si>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</si>
  <si>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</si>
  <si>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</si>
  <si>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</si>
  <si>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</si>
  <si>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</si>
  <si>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</si>
  <si>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</si>
  <si>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</si>
  <si>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</si>
  <si>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</si>
  <si>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</si>
  <si>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</si>
  <si>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</si>
  <si>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</si>
  <si>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</si>
  <si>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</si>
  <si>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</si>
  <si>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</si>
  <si>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</si>
  <si>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</si>
  <si>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</si>
  <si>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</si>
  <si>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</si>
  <si>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</si>
  <si>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</si>
  <si>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</si>
  <si>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</si>
  <si>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</si>
  <si>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</si>
  <si>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</si>
  <si>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</si>
  <si>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</si>
  <si>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</si>
  <si>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</si>
  <si>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</si>
  <si>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</si>
  <si>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</si>
  <si>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</si>
  <si>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</si>
  <si>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</si>
  <si>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</si>
  <si>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</si>
  <si>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</si>
  <si>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</si>
  <si>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</si>
  <si>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</si>
  <si>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</si>
  <si>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</si>
  <si>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</si>
  <si>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</si>
  <si>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</si>
  <si>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</si>
  <si>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</si>
  <si>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</si>
  <si>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</si>
  <si>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</si>
  <si>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</si>
  <si>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</si>
  <si>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</si>
  <si>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</si>
  <si>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</si>
  <si>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</si>
  <si>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</si>
  <si>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</si>
  <si>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</si>
  <si>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</si>
  <si>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</si>
  <si>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</si>
  <si>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</si>
  <si>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</si>
  <si>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</si>
  <si>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</si>
  <si>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</si>
  <si>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</si>
  <si>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</si>
  <si>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</si>
  <si>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</si>
  <si>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</si>
  <si>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</si>
  <si>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</si>
  <si>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</si>
  <si>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</si>
  <si>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</si>
  <si>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</si>
  <si>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</si>
  <si>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</si>
  <si>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</si>
  <si>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</si>
  <si>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</si>
  <si>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</si>
  <si>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</si>
  <si>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</si>
  <si>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</si>
  <si>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</si>
  <si>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</si>
  <si>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</si>
  <si>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</si>
  <si>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</si>
  <si>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</si>
  <si>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</si>
  <si>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</si>
  <si>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</si>
  <si>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</si>
  <si>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</si>
  <si>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</si>
  <si>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</si>
  <si>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</si>
  <si>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</si>
  <si>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</si>
  <si>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</si>
  <si>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</si>
  <si>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</si>
  <si>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</si>
  <si>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</si>
  <si>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</si>
  <si>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</si>
  <si>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</si>
  <si>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</si>
  <si>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</si>
  <si>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</si>
  <si>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</si>
  <si>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</si>
  <si>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</si>
  <si>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</si>
  <si>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</si>
  <si>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</si>
  <si>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</si>
  <si>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</si>
  <si>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</si>
  <si>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</si>
  <si>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</si>
  <si>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</si>
  <si>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</si>
  <si>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</si>
  <si>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</si>
  <si>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</si>
  <si>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</si>
  <si>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</si>
  <si>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</si>
  <si>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</si>
  <si>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</si>
  <si>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</si>
  <si>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</si>
  <si>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</si>
  <si>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</si>
  <si>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</si>
  <si>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</si>
  <si>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</si>
  <si>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</si>
  <si>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</si>
  <si>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</si>
  <si>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</si>
  <si>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</si>
  <si>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</si>
  <si>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</si>
  <si>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</si>
  <si>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</si>
  <si>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</si>
  <si>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</si>
  <si>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</si>
  <si>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</si>
  <si>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</si>
  <si>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</si>
  <si>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</si>
  <si>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</si>
  <si>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</si>
  <si>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</si>
  <si>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</si>
  <si>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</si>
  <si>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</si>
  <si>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</si>
  <si>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</si>
  <si>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</si>
  <si>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</si>
  <si>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</si>
  <si>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</si>
  <si>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</si>
  <si>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</si>
  <si>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</si>
  <si>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</si>
  <si>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</si>
  <si>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</si>
  <si>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</si>
  <si>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</si>
  <si>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</si>
  <si>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</si>
  <si>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</si>
  <si>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</si>
  <si>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</si>
  <si>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</si>
  <si>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</si>
  <si>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</si>
  <si>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</si>
  <si>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</si>
  <si>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</si>
  <si>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</si>
  <si>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</si>
  <si>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</si>
  <si>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</si>
  <si>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</si>
  <si>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</si>
  <si>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</si>
  <si>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</si>
  <si>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</si>
  <si>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</si>
  <si>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</si>
  <si>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</si>
  <si>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</si>
  <si>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</si>
  <si>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</si>
  <si>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</si>
  <si>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</si>
  <si>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</si>
  <si>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</si>
  <si>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</si>
  <si>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</si>
  <si>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</si>
  <si>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</si>
  <si>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</si>
  <si>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</si>
  <si>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</si>
  <si>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</si>
  <si>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</si>
  <si>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</si>
  <si>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</si>
  <si>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</si>
  <si>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</si>
  <si>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</si>
  <si>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</si>
  <si>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</si>
  <si>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</si>
  <si>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</si>
  <si>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</si>
  <si>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</si>
  <si>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</si>
  <si>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</si>
  <si>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</si>
  <si>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</si>
  <si>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</si>
  <si>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</si>
  <si>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</si>
  <si>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</si>
  <si>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</si>
  <si>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</si>
  <si>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</si>
  <si>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</si>
  <si>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</si>
  <si>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</si>
  <si>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</si>
  <si>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</si>
  <si>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</si>
  <si>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</si>
  <si>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</si>
  <si>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</si>
  <si>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</si>
  <si>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</si>
  <si>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</si>
  <si>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</si>
  <si>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</si>
  <si>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</si>
  <si>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</si>
  <si>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</si>
  <si>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</si>
  <si>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</si>
  <si>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</si>
  <si>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</si>
  <si>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</si>
  <si>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</si>
  <si>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</si>
  <si>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</si>
  <si>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</si>
  <si>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</si>
  <si>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</si>
  <si>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</si>
  <si>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</si>
  <si>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</si>
  <si>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</si>
  <si>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</si>
  <si>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</si>
  <si>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</si>
  <si>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</si>
  <si>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</si>
  <si>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</si>
  <si>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</si>
  <si>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</si>
  <si>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</si>
  <si>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</si>
  <si>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</si>
  <si>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</si>
  <si>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</si>
  <si>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</si>
  <si>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</si>
  <si>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</si>
  <si>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</si>
  <si>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</si>
  <si>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</si>
  <si>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</si>
  <si>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</si>
  <si>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</si>
  <si>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</si>
  <si>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</si>
  <si>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</si>
  <si>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</si>
  <si>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</si>
  <si>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</si>
  <si>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</si>
  <si>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</si>
  <si>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</si>
  <si>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</si>
  <si>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</si>
  <si>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</si>
  <si>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</si>
  <si>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</si>
  <si>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</si>
  <si>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</si>
  <si>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</si>
  <si>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</si>
  <si>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</si>
  <si>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</si>
  <si>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</si>
  <si>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</si>
  <si>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</si>
  <si>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</si>
  <si>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</si>
  <si>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</si>
  <si>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</si>
  <si>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</si>
  <si>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</si>
  <si>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</si>
  <si>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</si>
  <si>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</si>
  <si>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</si>
  <si>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</si>
  <si>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</si>
  <si>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</si>
  <si>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</si>
  <si>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</si>
  <si>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</si>
  <si>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</si>
  <si>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</si>
  <si>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</si>
  <si>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</si>
  <si>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</si>
  <si>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</si>
  <si>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</si>
  <si>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</si>
  <si>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</si>
  <si>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</si>
  <si>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</si>
  <si>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</si>
  <si>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</si>
  <si>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</si>
  <si>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</si>
  <si>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</si>
  <si>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</si>
  <si>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</si>
  <si>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</si>
  <si>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</si>
  <si>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</si>
  <si>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</si>
  <si>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</si>
  <si>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</si>
  <si>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</si>
  <si>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</si>
  <si>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</si>
  <si>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</si>
  <si>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</si>
  <si>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</si>
  <si>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</si>
  <si>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</si>
  <si>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</si>
  <si>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</si>
  <si>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</si>
  <si>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</si>
  <si>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</si>
  <si>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</si>
  <si>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</si>
  <si>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</si>
  <si>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</si>
  <si>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</si>
  <si>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</si>
  <si>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</si>
  <si>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</si>
  <si>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</si>
  <si>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</si>
  <si>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</si>
  <si>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</si>
  <si>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</si>
  <si>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</si>
  <si>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</si>
  <si>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</si>
  <si>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</si>
  <si>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</si>
  <si>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</si>
  <si>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</si>
  <si>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</si>
  <si>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</si>
  <si>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</si>
  <si>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</si>
  <si>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</si>
  <si>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</si>
  <si>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</si>
  <si>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</si>
  <si>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</si>
  <si>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</si>
  <si>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</si>
  <si>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</si>
  <si>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</si>
  <si>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</si>
  <si>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</si>
  <si>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</si>
  <si>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</si>
  <si>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</si>
  <si>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</si>
  <si>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</si>
  <si>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</si>
  <si>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</si>
  <si>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</si>
  <si>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</si>
  <si>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</si>
  <si>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</si>
  <si>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</si>
  <si>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</si>
  <si>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</si>
  <si>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</si>
  <si>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</si>
  <si>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</si>
  <si>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</si>
  <si>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</si>
  <si>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</si>
  <si>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</si>
  <si>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</si>
  <si>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</si>
  <si>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</si>
  <si>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</si>
  <si>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</si>
  <si>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</si>
  <si>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</si>
  <si>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</si>
  <si>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</si>
  <si>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</si>
  <si>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</si>
  <si>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</si>
  <si>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</si>
  <si>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</si>
  <si>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</si>
  <si>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</si>
  <si>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</si>
  <si>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</si>
  <si>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</si>
  <si>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</si>
  <si>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</si>
  <si>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</si>
  <si>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</si>
  <si>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</si>
  <si>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</si>
  <si>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</si>
  <si>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</si>
  <si>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</si>
  <si>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</si>
  <si>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</si>
  <si>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</si>
  <si>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</si>
  <si>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</si>
  <si>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</si>
  <si>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</si>
  <si>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</si>
  <si>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</si>
  <si>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</si>
  <si>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</si>
  <si>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</si>
  <si>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</si>
  <si>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</si>
  <si>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</si>
  <si>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</si>
  <si>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</si>
  <si>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</si>
  <si>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</si>
  <si>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</si>
  <si>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</si>
  <si>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</si>
  <si>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</si>
  <si>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</si>
  <si>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</si>
  <si>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</si>
  <si>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</si>
  <si>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</si>
  <si>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</si>
  <si>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</si>
  <si>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</si>
  <si>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</si>
  <si>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</si>
  <si>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</si>
  <si>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</si>
  <si>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</si>
  <si>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</si>
  <si>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</si>
  <si>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</si>
  <si>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</si>
  <si>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</si>
  <si>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</si>
  <si>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</si>
  <si>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</si>
  <si>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</si>
  <si>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</si>
  <si>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</si>
  <si>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</si>
  <si>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</si>
  <si>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</si>
  <si>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</si>
  <si>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</si>
  <si>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</si>
  <si>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</si>
  <si>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</si>
  <si>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</si>
  <si>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</si>
  <si>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</si>
  <si>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</si>
  <si>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</si>
  <si>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</si>
  <si>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</si>
  <si>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</si>
  <si>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</si>
  <si>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</si>
  <si>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</si>
  <si>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</si>
  <si>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</si>
  <si>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</si>
  <si>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</si>
  <si>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</si>
  <si>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</si>
  <si>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</si>
  <si>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</si>
  <si>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</si>
  <si>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</si>
  <si>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</si>
  <si>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</si>
  <si>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</si>
  <si>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</si>
  <si>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</si>
  <si>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</si>
  <si>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</si>
  <si>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</si>
  <si>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</si>
  <si>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</si>
  <si>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</si>
  <si>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</si>
  <si>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</si>
  <si>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</si>
  <si>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</si>
  <si>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</si>
  <si>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</si>
  <si>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</si>
  <si>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</si>
  <si>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</si>
  <si>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</si>
  <si>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</si>
  <si>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</si>
  <si>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</si>
  <si>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</si>
  <si>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</si>
  <si>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</si>
  <si>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</si>
  <si>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</si>
  <si>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</si>
  <si>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</si>
  <si>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</si>
  <si>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</si>
  <si>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</si>
  <si>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</si>
  <si>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</si>
  <si>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</si>
  <si>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</si>
  <si>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</si>
  <si>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</si>
  <si>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</si>
  <si>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</si>
  <si>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</si>
  <si>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</si>
  <si>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</si>
  <si>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</si>
  <si>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</si>
  <si>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</si>
  <si>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</si>
  <si>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</si>
  <si>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</si>
  <si>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</si>
  <si>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</si>
  <si>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</si>
  <si>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</si>
  <si>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</si>
  <si>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</si>
  <si>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</si>
  <si>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</si>
  <si>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</si>
  <si>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</si>
  <si>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</si>
  <si>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</si>
  <si>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</si>
  <si>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</si>
  <si>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</si>
  <si>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</si>
  <si>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</si>
  <si>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</si>
  <si>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</si>
  <si>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</si>
  <si>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</si>
  <si>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</si>
  <si>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</si>
  <si>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</si>
  <si>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</si>
  <si>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</si>
  <si>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</si>
  <si>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</si>
  <si>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</si>
  <si>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</si>
  <si>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</si>
  <si>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</si>
  <si>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</si>
  <si>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</si>
  <si>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</si>
  <si>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</si>
  <si>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</si>
  <si>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</si>
  <si>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</si>
  <si>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</si>
  <si>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</si>
  <si>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</si>
  <si>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</si>
  <si>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</si>
  <si>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</si>
  <si>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</si>
  <si>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</si>
  <si>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</si>
  <si>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</si>
  <si>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</si>
  <si>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</si>
  <si>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</si>
  <si>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</si>
  <si>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</si>
  <si>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</si>
  <si>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</si>
  <si>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</si>
  <si>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</si>
  <si>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</si>
  <si>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</si>
  <si>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</si>
  <si>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</si>
  <si>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</si>
  <si>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</si>
  <si>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</si>
  <si>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</si>
  <si>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</si>
  <si>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</si>
  <si>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</si>
  <si>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</si>
  <si>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</si>
  <si>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</si>
  <si>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</si>
  <si>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</si>
  <si>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</si>
  <si>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</si>
  <si>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</si>
  <si>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</si>
  <si>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</si>
  <si>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</si>
  <si>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</si>
  <si>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</si>
  <si>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</si>
  <si>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</si>
  <si>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</si>
  <si>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</si>
  <si>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</si>
  <si>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</si>
  <si>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</si>
  <si>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</si>
  <si>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</si>
  <si>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</si>
  <si>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</si>
  <si>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</si>
  <si>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</si>
  <si>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</si>
  <si>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</si>
  <si>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</si>
  <si>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</si>
  <si>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</si>
  <si>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</si>
  <si>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</si>
  <si>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</si>
  <si>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</si>
  <si>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</si>
  <si>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</si>
  <si>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</si>
  <si>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</si>
  <si>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</si>
  <si>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</si>
  <si>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</si>
  <si>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</si>
  <si>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</si>
  <si>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</si>
  <si>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</si>
  <si>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</si>
  <si>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</si>
  <si>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</si>
  <si>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</si>
  <si>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</si>
  <si>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</si>
  <si>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</si>
  <si>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</si>
  <si>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</si>
  <si>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</si>
  <si>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</si>
  <si>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</si>
  <si>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</si>
  <si>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</si>
  <si>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</si>
  <si>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</si>
  <si>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</si>
  <si>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</si>
  <si>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</si>
  <si>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</si>
  <si>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</si>
  <si>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</si>
  <si>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</si>
  <si>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</si>
  <si>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</si>
  <si>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</si>
  <si>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</si>
  <si>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</si>
  <si>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</si>
  <si>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</si>
  <si>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</si>
  <si>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</si>
  <si>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</si>
  <si>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</si>
  <si>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</si>
  <si>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</si>
  <si>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</si>
  <si>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</si>
  <si>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</si>
  <si>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</si>
  <si>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</si>
  <si>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</si>
  <si>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</si>
  <si>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</si>
  <si>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</si>
  <si>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</si>
  <si>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</si>
  <si>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</si>
  <si>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</si>
  <si>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</si>
  <si>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</si>
  <si>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</si>
  <si>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</si>
  <si>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</si>
  <si>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</si>
  <si>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</si>
  <si>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</si>
  <si>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</si>
  <si>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</si>
  <si>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</si>
  <si>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</si>
  <si>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</si>
  <si>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</si>
  <si>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</si>
  <si>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</si>
  <si>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</si>
  <si>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</si>
  <si>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</si>
  <si>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</si>
  <si>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</si>
  <si>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</si>
  <si>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</si>
  <si>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</si>
  <si>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</si>
  <si>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</si>
  <si>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</si>
  <si>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</si>
  <si>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</si>
  <si>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</si>
  <si>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</si>
  <si>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</si>
  <si>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</si>
  <si>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</si>
  <si>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</si>
  <si>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</si>
  <si>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</si>
  <si>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</si>
  <si>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</si>
  <si>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</si>
  <si>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</si>
  <si>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</si>
  <si>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</si>
  <si>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</si>
  <si>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</si>
  <si>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</si>
  <si>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</si>
  <si>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</si>
  <si>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</si>
  <si>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</si>
  <si>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</si>
  <si>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</si>
  <si>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</si>
  <si>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</si>
  <si>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</si>
  <si>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</si>
  <si>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</si>
  <si>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</si>
  <si>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</si>
  <si>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</si>
  <si>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</si>
  <si>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</si>
  <si>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</si>
  <si>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</si>
  <si>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</si>
  <si>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</si>
  <si>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</si>
  <si>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</si>
  <si>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</si>
  <si>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</si>
  <si>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</si>
  <si>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</si>
  <si>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</si>
  <si>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</si>
  <si>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</si>
  <si>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</si>
  <si>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</si>
  <si>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</si>
  <si>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</si>
  <si>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</si>
  <si>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</si>
  <si>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</si>
  <si>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</si>
  <si>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</si>
  <si>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</si>
  <si>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</si>
  <si>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</si>
  <si>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</si>
  <si>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</si>
  <si>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</si>
  <si>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</si>
  <si>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</si>
  <si>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</si>
  <si>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</si>
  <si>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</si>
  <si>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</si>
  <si>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</si>
  <si>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</si>
  <si>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</si>
  <si>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</si>
  <si>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</si>
  <si>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</si>
  <si>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</si>
  <si>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</si>
  <si>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</si>
  <si>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</si>
  <si>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</si>
  <si>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</si>
  <si>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</si>
  <si>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</si>
  <si>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</si>
  <si>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</si>
  <si>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</si>
  <si>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</si>
  <si>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</si>
  <si>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</si>
  <si>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</si>
  <si>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</si>
  <si>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</si>
  <si>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</si>
  <si>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</si>
  <si>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</si>
  <si>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</si>
  <si>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</si>
  <si>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</si>
  <si>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</si>
  <si>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</si>
  <si>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</si>
  <si>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</si>
  <si>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</si>
  <si>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</si>
  <si>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</si>
  <si>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</si>
  <si>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</si>
  <si>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</si>
  <si>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</si>
  <si>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</si>
  <si>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</si>
  <si>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</si>
  <si>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</si>
  <si>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</si>
  <si>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</si>
  <si>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</si>
  <si>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</si>
  <si>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</si>
  <si>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</si>
  <si>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</si>
  <si>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</si>
  <si>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</si>
  <si>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</si>
  <si>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</si>
  <si>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</si>
  <si>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</si>
  <si>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</si>
  <si>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</si>
  <si>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</si>
  <si>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</si>
  <si>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</si>
  <si>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</si>
  <si>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</si>
  <si>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</si>
  <si>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</si>
  <si>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</si>
  <si>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</si>
  <si>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</si>
  <si>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</si>
  <si>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</si>
  <si>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</si>
  <si>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</si>
  <si>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</si>
  <si>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</si>
  <si>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</si>
  <si>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</si>
  <si>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</si>
  <si>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</si>
  <si>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</si>
  <si>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</si>
  <si>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</si>
  <si>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</si>
  <si>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</si>
  <si>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</si>
  <si>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</si>
  <si>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</si>
  <si>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</si>
  <si>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</si>
  <si>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</si>
  <si>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</si>
  <si>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</si>
  <si>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</si>
  <si>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</si>
  <si>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</si>
  <si>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</si>
  <si>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</si>
  <si>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</si>
  <si>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</si>
  <si>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</si>
  <si>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</si>
  <si>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</si>
  <si>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</si>
  <si>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</si>
  <si>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</si>
  <si>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</si>
  <si>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</si>
  <si>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</si>
  <si>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</si>
  <si>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</si>
  <si>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</si>
  <si>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</si>
  <si>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</si>
  <si>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</si>
  <si>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</si>
  <si>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</si>
  <si>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</si>
  <si>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</si>
  <si>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</si>
  <si>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</si>
  <si>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</si>
  <si>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</si>
  <si>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</si>
  <si>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</si>
  <si>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</si>
  <si>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</si>
  <si>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</si>
  <si>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</si>
  <si>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</si>
  <si>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</si>
  <si>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</si>
  <si>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</si>
  <si>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</si>
  <si>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</si>
  <si>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</si>
  <si>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</si>
  <si>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</si>
  <si>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</si>
  <si>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</si>
  <si>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</si>
  <si>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</si>
  <si>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</si>
  <si>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</si>
  <si>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</si>
  <si>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</si>
  <si>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</si>
  <si>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</si>
  <si>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</si>
  <si>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</si>
  <si>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</si>
  <si>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</si>
  <si>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</si>
  <si>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</si>
  <si>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</si>
  <si>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</si>
  <si>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</si>
  <si>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</si>
  <si>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</si>
  <si>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</si>
  <si>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</si>
  <si>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</si>
  <si>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</si>
  <si>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</si>
  <si>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</si>
  <si>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</si>
  <si>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</si>
  <si>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</si>
  <si>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</si>
  <si>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</si>
  <si>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</si>
  <si>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</si>
  <si>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</si>
  <si>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</si>
  <si>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</si>
  <si>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</si>
  <si>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</si>
  <si>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</si>
  <si>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</si>
  <si>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</si>
  <si>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</si>
  <si>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</si>
  <si>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</si>
  <si>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</si>
  <si>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</si>
  <si>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</si>
  <si>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</si>
  <si>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</si>
  <si>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</si>
  <si>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</si>
  <si>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</si>
  <si>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</si>
  <si>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</si>
  <si>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</si>
  <si>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</si>
  <si>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</si>
  <si>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</si>
  <si>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</si>
  <si>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</si>
  <si>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</si>
  <si>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</si>
  <si>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</si>
  <si>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</si>
  <si>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</si>
  <si>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</si>
  <si>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</si>
  <si>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</si>
  <si>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</si>
  <si>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</si>
  <si>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</si>
  <si>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</si>
  <si>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</si>
  <si>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</si>
  <si>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</si>
  <si>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</si>
  <si>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</si>
  <si>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</si>
  <si>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</si>
  <si>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</si>
  <si>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</si>
  <si>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</si>
  <si>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</si>
  <si>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</si>
  <si>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</si>
  <si>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</si>
  <si>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</si>
  <si>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</si>
  <si>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</si>
  <si>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</si>
  <si>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</si>
  <si>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</si>
  <si>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</si>
  <si>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</si>
  <si>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</si>
  <si>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</si>
  <si>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</si>
  <si>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</si>
  <si>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</si>
  <si>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</si>
  <si>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</si>
  <si>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</si>
  <si>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</si>
  <si>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</si>
  <si>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</si>
  <si>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</si>
  <si>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</si>
  <si>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</si>
  <si>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</si>
  <si>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</si>
  <si>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</si>
  <si>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</si>
  <si>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</si>
  <si>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</si>
  <si>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</si>
  <si>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</si>
  <si>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</si>
  <si>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</si>
  <si>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</si>
  <si>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</si>
  <si>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</si>
  <si>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</si>
  <si>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</si>
  <si>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</si>
  <si>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</si>
  <si>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</si>
  <si>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</si>
  <si>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</si>
  <si>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</si>
  <si>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</si>
  <si>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</si>
  <si>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</si>
  <si>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</si>
  <si>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</si>
  <si>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</si>
  <si>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</si>
  <si>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</si>
  <si>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</si>
  <si>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</si>
  <si>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</si>
  <si>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</si>
  <si>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</si>
  <si>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</si>
  <si>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</si>
  <si>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</si>
  <si>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</si>
  <si>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</si>
  <si>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</si>
  <si>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</si>
  <si>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</si>
  <si>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</si>
  <si>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</si>
  <si>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</si>
  <si>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</si>
  <si>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</si>
  <si>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</si>
  <si>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</si>
  <si>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</si>
  <si>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</si>
  <si>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</si>
  <si>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</si>
  <si>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</si>
  <si>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</si>
  <si>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</si>
  <si>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</si>
  <si>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</si>
  <si>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</si>
  <si>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</si>
  <si>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</si>
  <si>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</si>
  <si>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</si>
  <si>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</si>
  <si>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</si>
  <si>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</si>
  <si>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</si>
  <si>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</si>
  <si>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</si>
  <si>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</si>
  <si>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</si>
  <si>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</si>
  <si>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</si>
  <si>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</si>
  <si>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</si>
  <si>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</si>
  <si>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</si>
  <si>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</si>
  <si>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</si>
  <si>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</si>
  <si>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</si>
  <si>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</si>
  <si>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</si>
  <si>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</si>
  <si>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</si>
  <si>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</si>
  <si>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</si>
  <si>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</si>
  <si>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</si>
  <si>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</si>
  <si>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</si>
  <si>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</si>
  <si>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</si>
  <si>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</si>
  <si>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</si>
  <si>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</si>
  <si>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</si>
  <si>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</si>
  <si>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</si>
  <si>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</si>
  <si>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</si>
  <si>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</si>
  <si>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</si>
  <si>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</si>
  <si>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</si>
  <si>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</si>
  <si>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</si>
  <si>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</si>
  <si>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</si>
  <si>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</si>
  <si>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</si>
  <si>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</si>
  <si>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</si>
  <si>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</si>
  <si>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</si>
  <si>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</si>
  <si>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</si>
  <si>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</si>
  <si>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</si>
  <si>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</si>
  <si>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</si>
  <si>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</si>
  <si>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</si>
  <si>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</si>
  <si>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</si>
  <si>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</si>
  <si>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</si>
  <si>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</si>
  <si>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</si>
  <si>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</si>
  <si>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</si>
  <si>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</si>
  <si>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</si>
  <si>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</si>
  <si>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</si>
  <si>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</si>
  <si>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</si>
  <si>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</si>
  <si>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</si>
  <si>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</si>
  <si>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</si>
  <si>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</si>
  <si>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</si>
  <si>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</si>
  <si>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</si>
  <si>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</si>
  <si>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</si>
  <si>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</si>
  <si>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</si>
  <si>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</si>
  <si>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</si>
  <si>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</si>
  <si>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</si>
  <si>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</si>
  <si>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</si>
  <si>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</si>
  <si>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</si>
  <si>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</si>
  <si>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</si>
  <si>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</si>
  <si>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</si>
  <si>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</si>
  <si>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</si>
  <si>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</si>
  <si>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</si>
  <si>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</si>
  <si>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</si>
  <si>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</si>
  <si>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</si>
  <si>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</si>
  <si>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</si>
  <si>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</si>
  <si>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</si>
  <si>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</si>
  <si>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</si>
  <si>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</si>
  <si>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</si>
  <si>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</si>
  <si>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</si>
  <si>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</si>
  <si>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</si>
  <si>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</si>
  <si>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</si>
  <si>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</si>
  <si>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</si>
  <si>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</si>
  <si>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</si>
  <si>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</si>
  <si>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</si>
  <si>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</si>
  <si>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</si>
  <si>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</si>
  <si>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</si>
  <si>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</si>
  <si>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</si>
  <si>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</si>
  <si>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</si>
  <si>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</si>
  <si>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</si>
  <si>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</si>
  <si>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</si>
  <si>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</si>
  <si>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</si>
  <si>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</si>
  <si>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</si>
  <si>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</si>
  <si>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</si>
  <si>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</si>
  <si>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</si>
  <si>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</si>
  <si>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</si>
  <si>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</si>
  <si>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</si>
  <si>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</si>
  <si>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</si>
  <si>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</si>
  <si>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</si>
  <si>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</si>
  <si>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</si>
  <si>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</si>
  <si>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</si>
  <si>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</si>
  <si>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</si>
  <si>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</si>
  <si>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</si>
  <si>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</si>
  <si>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</si>
  <si>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</si>
  <si>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</si>
  <si>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</si>
  <si>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</si>
  <si>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</si>
  <si>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</si>
  <si>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</si>
  <si>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</si>
  <si>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</si>
  <si>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</si>
  <si>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</si>
  <si>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</si>
  <si>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</si>
  <si>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</si>
  <si>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</si>
  <si>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</si>
  <si>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</si>
  <si>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</si>
  <si>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</si>
  <si>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</si>
  <si>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</si>
  <si>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</si>
  <si>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</si>
  <si>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</si>
  <si>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</si>
  <si>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</si>
  <si>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</si>
  <si>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</si>
  <si>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</si>
  <si>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</si>
  <si>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</si>
  <si>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</si>
  <si>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</si>
  <si>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</si>
  <si>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</si>
  <si>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</si>
  <si>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</si>
  <si>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</si>
  <si>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</si>
  <si>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</si>
  <si>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</si>
  <si>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</si>
  <si>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</si>
  <si>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</si>
  <si>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</si>
  <si>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</si>
  <si>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</si>
  <si>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</si>
  <si>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</si>
  <si>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</si>
  <si>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</si>
  <si>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</si>
  <si>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</si>
  <si>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</si>
  <si>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</si>
  <si>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</si>
  <si>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</si>
  <si>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</si>
  <si>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</si>
  <si>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</si>
  <si>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</si>
  <si>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</si>
  <si>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</si>
  <si>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</si>
  <si>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</si>
  <si>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</si>
  <si>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</si>
  <si>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</si>
  <si>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</si>
  <si>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</si>
  <si>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</si>
  <si>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</si>
  <si>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</si>
  <si>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</si>
  <si>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</si>
  <si>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</si>
  <si>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</si>
  <si>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</si>
  <si>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</si>
  <si>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</si>
  <si>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</si>
  <si>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</si>
  <si>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</si>
  <si>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</si>
  <si>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</si>
  <si>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</si>
  <si>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</si>
  <si>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</si>
  <si>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</si>
  <si>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</si>
  <si>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</si>
  <si>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</si>
  <si>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</si>
  <si>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</si>
  <si>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</si>
  <si>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</si>
  <si>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</si>
  <si>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</si>
  <si>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</si>
  <si>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</si>
  <si>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</si>
  <si>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</si>
  <si>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</si>
  <si>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</si>
  <si>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</si>
  <si>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</si>
  <si>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</si>
  <si>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</si>
  <si>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</si>
  <si>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</si>
  <si>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</si>
  <si>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</si>
  <si>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</si>
  <si>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</si>
  <si>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</si>
  <si>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</si>
  <si>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</si>
  <si>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</si>
  <si>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</si>
  <si>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</si>
  <si>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</si>
  <si>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</si>
  <si>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</si>
  <si>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</si>
  <si>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</si>
  <si>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</si>
  <si>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</si>
  <si>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</si>
  <si>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</si>
  <si>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</si>
  <si>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</si>
  <si>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</si>
  <si>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</si>
  <si>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</si>
  <si>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</si>
  <si>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</si>
  <si>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</si>
  <si>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</si>
  <si>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</si>
  <si>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</si>
  <si>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</si>
  <si>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</si>
  <si>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</si>
  <si>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</si>
  <si>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</si>
  <si>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</si>
  <si>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</si>
  <si>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</si>
  <si>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</si>
  <si>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</si>
  <si>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</si>
  <si>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</si>
  <si>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</si>
  <si>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</si>
  <si>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</si>
  <si>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</si>
  <si>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</si>
  <si>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</si>
  <si>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</si>
  <si>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</si>
  <si>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</si>
  <si>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</si>
  <si>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</si>
  <si>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</si>
  <si>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</si>
  <si>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</si>
  <si>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</si>
  <si>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</si>
  <si>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</si>
  <si>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</si>
  <si>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</si>
  <si>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</si>
  <si>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</si>
  <si>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</si>
  <si>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</si>
  <si>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</si>
  <si>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</si>
  <si>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</si>
  <si>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</si>
  <si>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</si>
  <si>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</si>
  <si>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</si>
  <si>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</si>
  <si>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</si>
  <si>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</si>
  <si>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</si>
  <si>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</si>
  <si>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</si>
  <si>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</si>
  <si>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</si>
  <si>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</si>
  <si>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</si>
  <si>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</si>
  <si>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</si>
  <si>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</si>
  <si>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</si>
  <si>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</si>
  <si>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</si>
  <si>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</si>
  <si>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</si>
  <si>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</si>
  <si>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</si>
  <si>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</si>
  <si>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</si>
  <si>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</si>
  <si>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</si>
  <si>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</si>
  <si>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</si>
  <si>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</si>
  <si>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</si>
  <si>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</si>
  <si>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</si>
  <si>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</si>
  <si>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</si>
  <si>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</si>
  <si>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</si>
  <si>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</si>
  <si>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</si>
  <si>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</si>
  <si>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</si>
  <si>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</si>
  <si>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</si>
  <si>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</si>
  <si>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</si>
  <si>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</si>
  <si>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</si>
  <si>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</si>
  <si>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</si>
  <si>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</si>
  <si>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</si>
  <si>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</si>
  <si>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</si>
  <si>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</si>
  <si>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</si>
  <si>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</si>
  <si>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</si>
  <si>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</si>
  <si>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</si>
  <si>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</si>
  <si>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</si>
  <si>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</si>
  <si>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</si>
  <si>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</si>
  <si>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</si>
  <si>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</si>
  <si>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</si>
  <si>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</si>
  <si>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</si>
  <si>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</si>
  <si>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</si>
  <si>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</si>
  <si>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</si>
  <si>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</si>
  <si>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</si>
  <si>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</si>
  <si>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</si>
  <si>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</si>
  <si>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</si>
  <si>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</si>
  <si>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</si>
  <si>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</si>
  <si>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</si>
  <si>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</si>
  <si>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</si>
  <si>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</si>
  <si>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</si>
  <si>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</si>
  <si>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</si>
  <si>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</si>
  <si>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</si>
  <si>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</si>
  <si>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</si>
  <si>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</si>
  <si>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</si>
  <si>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</si>
  <si>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</si>
  <si>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</si>
  <si>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</si>
  <si>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</si>
  <si>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</si>
  <si>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</si>
  <si>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</si>
  <si>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</si>
  <si>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</si>
  <si>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</si>
  <si>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</si>
  <si>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</si>
  <si>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</si>
  <si>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</si>
  <si>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</si>
  <si>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</si>
  <si>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</si>
  <si>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</si>
  <si>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</si>
  <si>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</si>
  <si>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</si>
  <si>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</si>
  <si>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</si>
  <si>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</si>
  <si>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</si>
  <si>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</si>
  <si>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</si>
  <si>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</si>
  <si>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</si>
  <si>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</si>
  <si>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</si>
  <si>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</si>
  <si>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</si>
  <si>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</si>
  <si>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</si>
  <si>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</si>
  <si>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</si>
  <si>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</si>
  <si>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</si>
  <si>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</si>
  <si>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</si>
  <si>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</si>
  <si>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</si>
  <si>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</si>
  <si>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</si>
  <si>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</si>
  <si>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</si>
  <si>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</si>
  <si>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</si>
  <si>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</si>
  <si>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</si>
  <si>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</si>
  <si>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</si>
  <si>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</si>
  <si>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</si>
  <si>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</si>
  <si>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</si>
  <si>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</si>
  <si>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</si>
  <si>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</si>
  <si>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</si>
  <si>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</si>
  <si>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</si>
  <si>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</si>
  <si>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</si>
  <si>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</si>
  <si>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</si>
  <si>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</si>
  <si>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</si>
  <si>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</si>
  <si>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</si>
  <si>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</si>
  <si>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</si>
  <si>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</si>
  <si>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</si>
  <si>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</si>
  <si>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</si>
  <si>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</si>
  <si>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</si>
  <si>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</si>
  <si>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</si>
  <si>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</si>
  <si>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</si>
  <si>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</si>
  <si>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</si>
  <si>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</si>
  <si>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</si>
  <si>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</si>
  <si>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</si>
  <si>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</si>
  <si>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</si>
  <si>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</si>
  <si>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</si>
  <si>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</si>
  <si>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</si>
  <si>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</si>
  <si>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</si>
  <si>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</si>
  <si>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</si>
  <si>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</si>
  <si>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</si>
  <si>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</si>
  <si>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</si>
  <si>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</si>
  <si>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</si>
  <si>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</si>
  <si>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</si>
  <si>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</si>
  <si>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</si>
  <si>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</si>
  <si>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</si>
  <si>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</si>
  <si>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</si>
  <si>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</si>
  <si>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</si>
  <si>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</si>
  <si>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</si>
  <si>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</si>
  <si>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</si>
  <si>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</si>
  <si>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</si>
  <si>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</si>
  <si>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</si>
  <si>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</si>
  <si>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</si>
  <si>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</si>
  <si>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</si>
  <si>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</si>
  <si>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</si>
  <si>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</si>
  <si>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</si>
  <si>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</si>
  <si>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</si>
  <si>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</si>
  <si>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</si>
  <si>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</si>
  <si>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</si>
  <si>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</si>
  <si>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</si>
  <si>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</si>
  <si>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</si>
  <si>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</si>
  <si>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</si>
  <si>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</si>
  <si>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</si>
  <si>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</si>
  <si>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</si>
  <si>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</si>
  <si>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</si>
  <si>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</si>
  <si>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</si>
  <si>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</si>
  <si>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</si>
  <si>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</si>
  <si>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</si>
  <si>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</si>
  <si>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</si>
  <si>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</si>
  <si>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</si>
  <si>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</si>
  <si>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</si>
  <si>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</si>
  <si>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</si>
  <si>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</si>
  <si>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</si>
  <si>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</si>
  <si>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</si>
  <si>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</si>
  <si>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</si>
  <si>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</si>
  <si>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</si>
  <si>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</si>
  <si>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</si>
  <si>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</si>
  <si>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</si>
  <si>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</si>
  <si>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</si>
  <si>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</si>
  <si>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</si>
  <si>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</si>
  <si>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</si>
  <si>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</si>
  <si>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</si>
  <si>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</si>
  <si>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</si>
  <si>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</si>
  <si>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</si>
  <si>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</si>
  <si>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</si>
  <si>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</si>
  <si>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</si>
  <si>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</si>
  <si>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</si>
  <si>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</si>
  <si>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</si>
  <si>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</si>
  <si>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</si>
  <si>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</si>
  <si>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</si>
  <si>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</si>
  <si>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</si>
  <si>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</si>
  <si>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</si>
  <si>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</si>
  <si>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</si>
  <si>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</si>
  <si>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</si>
  <si>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</si>
  <si>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</si>
  <si>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</si>
  <si>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</si>
  <si>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</si>
  <si>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</si>
  <si>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</si>
  <si>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</si>
  <si>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</si>
  <si>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</si>
  <si>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</si>
  <si>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</si>
  <si>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</si>
  <si>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</si>
  <si>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</si>
  <si>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</si>
  <si>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</si>
  <si>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</si>
  <si>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</si>
  <si>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</si>
  <si>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</si>
  <si>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</si>
  <si>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</si>
  <si>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</si>
  <si>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</si>
  <si>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</si>
  <si>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</si>
  <si>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</si>
  <si>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</si>
  <si>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</si>
  <si>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</si>
  <si>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</si>
  <si>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</si>
  <si>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</si>
  <si>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</si>
  <si>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</si>
  <si>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</si>
  <si>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</si>
  <si>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</si>
  <si>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</si>
  <si>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</si>
  <si>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</si>
  <si>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</si>
  <si>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</si>
  <si>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</si>
  <si>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</si>
  <si>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</si>
  <si>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</si>
  <si>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</si>
  <si>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</si>
  <si>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</si>
  <si>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</si>
  <si>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</si>
  <si>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</si>
  <si>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</si>
  <si>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</si>
  <si>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</si>
  <si>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</si>
  <si>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</si>
  <si>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</si>
  <si>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</si>
  <si>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</si>
  <si>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</si>
  <si>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</si>
  <si>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</si>
  <si>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</si>
  <si>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</si>
  <si>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</si>
  <si>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</si>
  <si>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</si>
  <si>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</si>
  <si>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</si>
  <si>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</si>
  <si>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</si>
  <si>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</si>
  <si>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</si>
  <si>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</si>
  <si>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</si>
  <si>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</si>
  <si>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</si>
  <si>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</si>
  <si>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</si>
  <si>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</si>
  <si>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</si>
  <si>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</si>
  <si>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</si>
  <si>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</si>
  <si>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</si>
  <si>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</si>
  <si>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</si>
  <si>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</si>
  <si>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</si>
  <si>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</si>
  <si>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</si>
  <si>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</si>
  <si>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</si>
  <si>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</si>
  <si>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</si>
  <si>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</si>
  <si>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</si>
  <si>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</si>
  <si>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</si>
  <si>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</si>
  <si>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</si>
  <si>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</si>
  <si>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</si>
  <si>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</si>
  <si>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</si>
  <si>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</si>
  <si>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</si>
  <si>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</si>
  <si>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</si>
  <si>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</si>
  <si>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</si>
  <si>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</si>
  <si>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</si>
  <si>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</si>
  <si>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</si>
  <si>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</si>
  <si>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</si>
  <si>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</si>
  <si>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</si>
  <si>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</si>
  <si>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</si>
  <si>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</si>
  <si>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</si>
  <si>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</si>
  <si>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</si>
  <si>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</si>
  <si>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</si>
  <si>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</si>
  <si>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</si>
  <si>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</si>
  <si>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</si>
  <si>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</si>
  <si>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</si>
  <si>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</si>
  <si>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</si>
  <si>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</si>
  <si>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</si>
  <si>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</si>
  <si>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</si>
  <si>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</si>
  <si>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</si>
  <si>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</si>
  <si>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</si>
  <si>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</si>
  <si>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</si>
  <si>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</si>
  <si>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</si>
  <si>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</si>
  <si>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</si>
  <si>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</si>
  <si>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</si>
  <si>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</si>
  <si>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</si>
  <si>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</si>
  <si>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</si>
  <si>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</si>
  <si>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</si>
  <si>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</si>
  <si>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</si>
  <si>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</si>
  <si>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</si>
  <si>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</si>
  <si>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</si>
  <si>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</si>
  <si>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</si>
  <si>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</si>
  <si>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</si>
  <si>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</si>
  <si>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</si>
  <si>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</si>
  <si>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</si>
  <si>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</si>
  <si>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</si>
  <si>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</si>
  <si>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</si>
  <si>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</si>
  <si>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</si>
  <si>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</si>
  <si>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</si>
  <si>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</si>
  <si>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</si>
  <si>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</si>
  <si>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</si>
  <si>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</si>
  <si>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</si>
  <si>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</si>
  <si>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</si>
  <si>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</si>
  <si>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</si>
  <si>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</si>
  <si>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</si>
  <si>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</si>
  <si>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</si>
  <si>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</si>
  <si>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</si>
  <si>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</si>
  <si>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</si>
  <si>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</si>
  <si>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</si>
  <si>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</si>
  <si>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</si>
  <si>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</si>
  <si>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</si>
  <si>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</si>
  <si>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</si>
  <si>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</si>
  <si>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</si>
  <si>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</si>
  <si>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</si>
  <si>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</si>
  <si>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</si>
  <si>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</si>
  <si>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</si>
  <si>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</si>
  <si>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</si>
  <si>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</si>
  <si>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</si>
  <si>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</si>
  <si>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</si>
  <si>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</si>
  <si>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</si>
  <si>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</si>
  <si>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</si>
  <si>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</si>
  <si>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</si>
  <si>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</si>
  <si>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</si>
  <si>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</si>
  <si>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</si>
  <si>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</si>
  <si>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</si>
  <si>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</si>
  <si>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</si>
  <si>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</si>
  <si>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</si>
  <si>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</si>
  <si>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</si>
  <si>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</si>
  <si>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</si>
  <si>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</si>
  <si>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</si>
  <si>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</si>
  <si>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</si>
  <si>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</si>
  <si>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</si>
  <si>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</si>
  <si>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</si>
  <si>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</si>
  <si>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</si>
  <si>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</si>
  <si>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</si>
  <si>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</si>
  <si>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</si>
  <si>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</si>
  <si>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</si>
  <si>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</si>
  <si>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</si>
  <si>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</si>
  <si>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</si>
  <si>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</si>
  <si>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</si>
  <si>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</si>
  <si>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</si>
  <si>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</si>
  <si>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</si>
  <si>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</si>
  <si>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</si>
  <si>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</si>
  <si>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</si>
  <si>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</si>
  <si>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</si>
  <si>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</si>
  <si>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</si>
  <si>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</si>
  <si>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</si>
  <si>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</si>
  <si>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</si>
  <si>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</si>
  <si>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</si>
  <si>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</si>
  <si>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</si>
  <si>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</si>
  <si>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</si>
  <si>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</si>
  <si>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</si>
  <si>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</si>
  <si>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</si>
  <si>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</si>
  <si>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</si>
  <si>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</si>
  <si>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</si>
  <si>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</si>
  <si>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</si>
  <si>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</si>
  <si>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</si>
  <si>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</si>
  <si>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</si>
  <si>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</si>
  <si>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</si>
  <si>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</si>
  <si>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</si>
  <si>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</si>
  <si>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</si>
  <si>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</si>
  <si>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</si>
  <si>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</si>
  <si>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</si>
  <si>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</si>
  <si>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</si>
  <si>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</si>
  <si>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</si>
  <si>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</si>
  <si>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</si>
  <si>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</si>
  <si>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</si>
  <si>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</si>
  <si>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</si>
  <si>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</si>
  <si>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</si>
  <si>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</si>
  <si>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</si>
  <si>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</si>
  <si>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</si>
  <si>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</si>
  <si>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</si>
  <si>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</si>
  <si>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</si>
  <si>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</si>
  <si>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</si>
  <si>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</si>
  <si>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</si>
  <si>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</si>
  <si>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</si>
  <si>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</si>
  <si>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</si>
  <si>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</si>
  <si>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</si>
  <si>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</si>
  <si>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</si>
  <si>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</si>
  <si>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</si>
  <si>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</si>
  <si>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</si>
  <si>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</si>
  <si>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</si>
  <si>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</si>
  <si>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</si>
  <si>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</si>
  <si>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</si>
  <si>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</si>
  <si>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</si>
  <si>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</si>
  <si>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</si>
  <si>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</si>
  <si>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</si>
  <si>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</si>
  <si>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</si>
  <si>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</si>
  <si>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</si>
  <si>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</si>
  <si>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</si>
  <si>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</si>
  <si>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</si>
  <si>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</si>
  <si>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</si>
  <si>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</si>
  <si>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</si>
  <si>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</si>
  <si>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</si>
  <si>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</si>
  <si>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</si>
  <si>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</si>
  <si>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</si>
  <si>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</si>
  <si>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</si>
  <si>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</si>
  <si>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</si>
  <si>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</si>
  <si>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</si>
  <si>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</si>
  <si>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</si>
  <si>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</si>
  <si>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</si>
  <si>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</si>
  <si>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</si>
  <si>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</si>
  <si>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</si>
  <si>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</si>
  <si>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</si>
  <si>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</si>
  <si>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</si>
  <si>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</si>
  <si>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</si>
  <si>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</si>
  <si>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</si>
  <si>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</si>
  <si>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</si>
  <si>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</si>
  <si>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</si>
  <si>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</si>
  <si>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</si>
  <si>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</si>
  <si>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</si>
  <si>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</si>
  <si>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</si>
  <si>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</si>
  <si>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</si>
  <si>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</si>
  <si>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</si>
  <si>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</si>
  <si>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</si>
  <si>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</si>
  <si>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</si>
  <si>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</si>
  <si>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</si>
  <si>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</si>
  <si>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</si>
  <si>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</si>
  <si>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</si>
  <si>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</si>
  <si>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</si>
  <si>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</si>
  <si>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</si>
  <si>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</si>
  <si>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</si>
  <si>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</si>
  <si>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</si>
  <si>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</si>
  <si>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</si>
  <si>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</si>
  <si>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</si>
  <si>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</si>
  <si>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</si>
  <si>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</si>
  <si>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</si>
  <si>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</si>
  <si>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</si>
  <si>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</si>
  <si>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</si>
  <si>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</si>
  <si>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</si>
  <si>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</si>
  <si>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</si>
  <si>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</si>
  <si>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</si>
  <si>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</si>
  <si>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</si>
  <si>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</si>
  <si>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</si>
  <si>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</si>
  <si>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</si>
  <si>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</si>
  <si>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</si>
  <si>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</si>
  <si>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</si>
  <si>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</si>
  <si>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</si>
  <si>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</si>
  <si>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</si>
  <si>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</si>
  <si>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</si>
  <si>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</si>
  <si>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</si>
  <si>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</si>
  <si>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</si>
  <si>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</si>
  <si>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</si>
  <si>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</si>
  <si>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</si>
  <si>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</si>
  <si>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</si>
  <si>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</si>
  <si>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</si>
  <si>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</si>
  <si>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</si>
  <si>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</si>
  <si>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</si>
  <si>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</si>
  <si>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</si>
  <si>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</si>
  <si>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</si>
  <si>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</si>
  <si>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</si>
  <si>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</si>
  <si>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</si>
  <si>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</si>
  <si>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</si>
  <si>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</si>
  <si>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</si>
  <si>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</si>
  <si>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</si>
  <si>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</si>
  <si>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</si>
  <si>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</si>
  <si>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</si>
  <si>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</si>
  <si>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</si>
  <si>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</si>
  <si>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</si>
  <si>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</si>
  <si>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</si>
  <si>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</si>
  <si>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</si>
  <si>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</si>
  <si>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</si>
  <si>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</si>
  <si>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</si>
  <si>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</si>
  <si>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</si>
  <si>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</si>
  <si>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</si>
  <si>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</si>
  <si>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</si>
  <si>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</si>
  <si>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</si>
  <si>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</si>
  <si>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</si>
  <si>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</si>
  <si>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</si>
  <si>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</si>
  <si>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</si>
  <si>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</si>
  <si>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</si>
  <si>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</si>
  <si>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</si>
  <si>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</si>
  <si>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</si>
  <si>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</si>
  <si>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</si>
  <si>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</si>
  <si>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</si>
  <si>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</si>
  <si>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</si>
  <si>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</si>
  <si>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</si>
  <si>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</si>
  <si>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</si>
  <si>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</si>
  <si>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</si>
  <si>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</si>
  <si>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</si>
  <si>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</si>
  <si>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</si>
  <si>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</si>
  <si>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</si>
  <si>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</si>
  <si>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</si>
  <si>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</si>
  <si>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</si>
  <si>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</si>
  <si>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</si>
  <si>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</si>
  <si>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</si>
  <si>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</si>
  <si>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</si>
  <si>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</si>
  <si>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</si>
  <si>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</si>
  <si>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</si>
  <si>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</si>
  <si>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</si>
  <si>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</si>
  <si>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</si>
  <si>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</si>
  <si>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</si>
  <si>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</si>
  <si>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</si>
  <si>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</si>
  <si>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</si>
  <si>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</si>
  <si>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</si>
  <si>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</si>
  <si>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</si>
  <si>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</si>
  <si>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</si>
  <si>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</si>
  <si>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</si>
  <si>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</si>
  <si>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</si>
  <si>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</si>
  <si>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</si>
  <si>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</si>
  <si>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</si>
  <si>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</si>
  <si>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</si>
  <si>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</si>
  <si>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</si>
  <si>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</si>
  <si>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</si>
  <si>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</si>
  <si>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</si>
  <si>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</si>
  <si>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</si>
  <si>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</si>
  <si>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</si>
  <si>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</si>
  <si>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</si>
  <si>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</si>
  <si>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</si>
  <si>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</si>
  <si>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</si>
  <si>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</si>
  <si>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</si>
  <si>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</si>
  <si>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</si>
  <si>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</si>
  <si>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</si>
  <si>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</si>
  <si>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</si>
  <si>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</si>
  <si>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</si>
  <si>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</si>
  <si>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</si>
  <si>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</si>
  <si>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</si>
  <si>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</si>
  <si>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</si>
  <si>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</si>
  <si>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</si>
  <si>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</si>
  <si>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</si>
  <si>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</si>
  <si>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</si>
  <si>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</si>
  <si>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</si>
  <si>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</si>
  <si>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</si>
  <si>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</si>
  <si>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</si>
  <si>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</si>
  <si>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</si>
  <si>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</si>
  <si>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</si>
  <si>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</si>
  <si>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</si>
  <si>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</si>
  <si>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</si>
  <si>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</si>
  <si>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</si>
  <si>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</si>
  <si>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</si>
  <si>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</si>
  <si>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</si>
  <si>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</si>
  <si>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</si>
  <si>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</si>
  <si>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</si>
  <si>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</si>
  <si>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</si>
  <si>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</si>
  <si>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</si>
  <si>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</si>
  <si>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</si>
  <si>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</si>
  <si>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</si>
  <si>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</si>
  <si>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</si>
  <si>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</si>
  <si>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</si>
  <si>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</si>
  <si>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</si>
  <si>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</si>
  <si>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</si>
  <si>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</si>
  <si>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</si>
  <si>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</si>
  <si>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</si>
  <si>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</si>
  <si>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</si>
  <si>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</si>
  <si>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</si>
  <si>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</si>
  <si>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</si>
  <si>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</si>
  <si>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</si>
  <si>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</si>
  <si>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</si>
  <si>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</si>
  <si>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</si>
  <si>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</si>
  <si>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</si>
  <si>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</si>
  <si>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</si>
  <si>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</si>
  <si>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</si>
  <si>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</si>
  <si>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</si>
  <si>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</si>
  <si>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</si>
  <si>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</si>
  <si>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</si>
  <si>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</si>
  <si>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</si>
  <si>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</si>
  <si>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</si>
  <si>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</si>
  <si>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</si>
  <si>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</si>
  <si>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</si>
  <si>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</si>
  <si>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</si>
  <si>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</si>
  <si>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</si>
  <si>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</si>
  <si>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</si>
  <si>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</si>
  <si>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</si>
  <si>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</si>
  <si>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</si>
  <si>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</si>
  <si>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</si>
  <si>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</si>
  <si>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</si>
  <si>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</si>
  <si>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</si>
  <si>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</si>
  <si>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</si>
  <si>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</si>
  <si>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</si>
  <si>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</si>
  <si>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</si>
  <si>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</si>
  <si>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</si>
  <si>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</si>
  <si>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</si>
  <si>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</si>
  <si>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</si>
  <si>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</si>
  <si>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</si>
  <si>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</si>
  <si>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</si>
  <si>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</si>
  <si>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</si>
  <si>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</si>
  <si>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</si>
  <si>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</si>
  <si>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</si>
  <si>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</si>
  <si>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</si>
  <si>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</si>
  <si>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</si>
  <si>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</si>
  <si>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</si>
  <si>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</si>
  <si>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</si>
  <si>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</si>
  <si>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</si>
  <si>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</si>
  <si>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</si>
  <si>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</si>
  <si>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</si>
  <si>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</si>
  <si>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</si>
  <si>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</si>
  <si>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</si>
  <si>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</si>
  <si>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</si>
  <si>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</si>
  <si>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</si>
  <si>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</si>
  <si>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</si>
  <si>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</si>
  <si>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</si>
  <si>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</si>
  <si>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</si>
  <si>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</si>
  <si>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</si>
  <si>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</si>
  <si>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</si>
  <si>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</si>
  <si>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</si>
  <si>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</si>
  <si>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</si>
  <si>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</si>
  <si>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</si>
  <si>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</si>
  <si>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</si>
  <si>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</si>
  <si>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</si>
  <si>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</si>
  <si>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</si>
  <si>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</si>
  <si>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</si>
  <si>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</si>
  <si>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</si>
  <si>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</si>
  <si>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</si>
  <si>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</si>
  <si>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</si>
  <si>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</si>
  <si>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</si>
  <si>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</si>
  <si>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</si>
  <si>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</si>
  <si>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</si>
  <si>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</si>
  <si>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</si>
  <si>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</si>
  <si>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</si>
  <si>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</si>
  <si>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</si>
  <si>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</si>
  <si>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</si>
  <si>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</si>
  <si>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</si>
  <si>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</si>
  <si>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</si>
  <si>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</si>
  <si>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</si>
  <si>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</si>
  <si>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</si>
  <si>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</si>
  <si>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</si>
  <si>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</si>
  <si>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</si>
  <si>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</si>
  <si>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</si>
  <si>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</si>
  <si>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</si>
  <si>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</si>
  <si>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</si>
  <si>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</si>
  <si>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</si>
  <si>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</si>
  <si>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</si>
  <si>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</si>
  <si>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</si>
  <si>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</si>
  <si>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</si>
  <si>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</si>
  <si>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</si>
  <si>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</si>
  <si>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</si>
  <si>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</si>
  <si>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</si>
  <si>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</si>
  <si>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</si>
  <si>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</si>
  <si>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</si>
  <si>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</si>
  <si>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</si>
  <si>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</si>
  <si>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</si>
  <si>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</si>
  <si>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</si>
  <si>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</si>
  <si>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</si>
  <si>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</si>
  <si>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</si>
  <si>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</si>
  <si>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</si>
  <si>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</si>
  <si>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</si>
  <si>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</si>
  <si>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</si>
  <si>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</si>
  <si>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</si>
  <si>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</si>
  <si>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</si>
  <si>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</si>
  <si>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</si>
  <si>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</si>
  <si>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</si>
  <si>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</si>
  <si>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</si>
  <si>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</si>
  <si>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</si>
  <si>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</si>
  <si>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</si>
  <si>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</si>
  <si>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</si>
  <si>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</si>
  <si>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</si>
  <si>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</si>
  <si>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</si>
  <si>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</si>
  <si>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</si>
  <si>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</si>
  <si>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</si>
  <si>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</si>
  <si>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</si>
  <si>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</si>
  <si>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</si>
  <si>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</si>
  <si>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</si>
  <si>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</si>
  <si>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</si>
  <si>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</si>
  <si>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</si>
  <si>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</si>
  <si>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</si>
  <si>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</si>
  <si>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</si>
  <si>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</si>
  <si>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</si>
  <si>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</si>
  <si>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</si>
  <si>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</si>
  <si>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</si>
  <si>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</si>
  <si>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</si>
  <si>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</si>
  <si>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</si>
  <si>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</si>
  <si>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</si>
  <si>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</si>
  <si>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</si>
  <si>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</si>
  <si>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</si>
  <si>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</si>
  <si>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</si>
  <si>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</si>
  <si>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</si>
  <si>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</si>
  <si>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</si>
  <si>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</si>
  <si>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</si>
  <si>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</si>
  <si>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</si>
  <si>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</si>
  <si>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</si>
  <si>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</si>
  <si>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</si>
  <si>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</si>
  <si>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</si>
  <si>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</si>
  <si>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</si>
  <si>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</si>
  <si>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</si>
  <si>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</si>
  <si>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</si>
  <si>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</si>
  <si>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</si>
  <si>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</si>
  <si>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</si>
  <si>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</si>
  <si>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</si>
  <si>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</si>
  <si>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</si>
  <si>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</si>
  <si>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</si>
  <si>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</si>
  <si>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</si>
  <si>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</si>
  <si>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</si>
  <si>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</si>
  <si>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</si>
  <si>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</si>
  <si>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</si>
  <si>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</si>
  <si>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</si>
  <si>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</si>
  <si>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</si>
  <si>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</si>
  <si>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</si>
  <si>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</si>
  <si>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</si>
  <si>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</si>
  <si>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</si>
  <si>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</si>
  <si>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</si>
  <si>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</si>
  <si>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</si>
  <si>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</si>
  <si>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</si>
  <si>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</si>
  <si>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</si>
  <si>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</si>
  <si>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</si>
  <si>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</si>
  <si>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</si>
  <si>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</si>
  <si>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</si>
  <si>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</si>
  <si>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</si>
  <si>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</si>
  <si>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</si>
  <si>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</si>
  <si>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</si>
  <si>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</si>
  <si>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</si>
  <si>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</si>
  <si>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</si>
  <si>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</si>
  <si>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</si>
  <si>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</si>
  <si>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</si>
  <si>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</si>
  <si>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</si>
  <si>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</si>
  <si>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</si>
  <si>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</si>
  <si>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</si>
  <si>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</si>
  <si>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</si>
  <si>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</si>
  <si>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</si>
  <si>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</si>
  <si>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</si>
  <si>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</si>
  <si>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</si>
  <si>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</si>
  <si>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</si>
  <si>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</si>
  <si>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</si>
  <si>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</si>
  <si>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</si>
  <si>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</si>
  <si>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</si>
  <si>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</si>
  <si>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</si>
  <si>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</si>
  <si>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</si>
  <si>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</si>
  <si>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</si>
  <si>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</si>
  <si>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</si>
  <si>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</si>
  <si>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</si>
  <si>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</si>
  <si>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</si>
  <si>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</si>
  <si>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</si>
  <si>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</si>
  <si>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</si>
  <si>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</si>
  <si>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</si>
  <si>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</si>
  <si>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</si>
  <si>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</si>
  <si>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</si>
  <si>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</si>
  <si>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</si>
  <si>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</si>
  <si>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</si>
  <si>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</si>
  <si>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</si>
  <si>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</si>
  <si>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</si>
  <si>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</si>
  <si>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</si>
  <si>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</si>
  <si>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</si>
  <si>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</si>
  <si>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</si>
  <si>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</si>
  <si>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</si>
  <si>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</si>
  <si>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</si>
  <si>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</si>
  <si>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</si>
  <si>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</si>
  <si>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</si>
  <si>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</si>
  <si>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</si>
  <si>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</si>
  <si>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</si>
  <si>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</si>
  <si>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</si>
  <si>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</si>
  <si>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</si>
  <si>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</si>
  <si>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</si>
  <si>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</si>
  <si>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</si>
  <si>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</si>
  <si>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</si>
  <si>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</si>
  <si>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</si>
  <si>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</si>
  <si>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</si>
  <si>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</si>
  <si>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</si>
  <si>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</si>
  <si>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</si>
  <si>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</si>
  <si>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</si>
  <si>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</si>
  <si>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</si>
  <si>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</si>
  <si>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</si>
  <si>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</si>
  <si>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</si>
  <si>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</si>
  <si>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</si>
  <si>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</si>
  <si>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</si>
  <si>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</si>
  <si>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</si>
  <si>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</si>
  <si>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</si>
  <si>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</si>
  <si>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</si>
  <si>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</si>
  <si>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</si>
  <si>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</si>
  <si>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</si>
  <si>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</si>
  <si>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</si>
  <si>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</si>
  <si>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</si>
  <si>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</si>
  <si>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</si>
  <si>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</si>
  <si>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</si>
  <si>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</si>
  <si>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</si>
  <si>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</si>
  <si>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</si>
  <si>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</si>
  <si>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</si>
  <si>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</si>
  <si>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</si>
  <si>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</si>
  <si>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</si>
  <si>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</si>
  <si>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</si>
  <si>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</si>
  <si>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</si>
  <si>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</si>
  <si>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</si>
  <si>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</si>
  <si>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</si>
  <si>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</si>
  <si>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</si>
  <si>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</si>
  <si>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</si>
  <si>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</si>
  <si>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</si>
  <si>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</si>
  <si>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</si>
  <si>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</si>
  <si>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</si>
  <si>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</si>
  <si>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</si>
  <si>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</si>
  <si>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</si>
  <si>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</si>
  <si>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</si>
  <si>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</si>
  <si>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</si>
  <si>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</si>
  <si>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</si>
  <si>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</si>
  <si>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</si>
  <si>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</si>
  <si>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</si>
  <si>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</si>
  <si>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</si>
  <si>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</si>
  <si>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</si>
  <si>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</si>
  <si>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</si>
  <si>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</si>
  <si>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</si>
  <si>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</si>
  <si>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</si>
  <si>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</si>
  <si>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</si>
  <si>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</si>
  <si>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</si>
  <si>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</si>
  <si>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</si>
  <si>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</si>
  <si>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</si>
  <si>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</si>
  <si>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</si>
  <si>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</si>
  <si>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</si>
  <si>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</si>
  <si>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</si>
  <si>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</si>
  <si>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</si>
  <si>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</si>
  <si>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</si>
  <si>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</si>
  <si>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</si>
  <si>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</si>
  <si>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</si>
  <si>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</si>
  <si>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</si>
  <si>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</si>
  <si>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</si>
  <si>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</si>
  <si>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</si>
  <si>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</si>
  <si>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</si>
  <si>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</si>
  <si>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</si>
  <si>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</si>
  <si>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</si>
  <si>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</si>
  <si>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</si>
  <si>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</si>
  <si>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</si>
  <si>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</si>
  <si>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</si>
  <si>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</si>
  <si>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</si>
  <si>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</si>
  <si>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</si>
  <si>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</si>
  <si>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</si>
  <si>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</si>
  <si>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</si>
  <si>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</si>
  <si>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</si>
  <si>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</si>
  <si>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</si>
  <si>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</si>
  <si>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</si>
  <si>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</si>
  <si>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</si>
  <si>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</si>
  <si>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</si>
  <si>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</si>
  <si>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</si>
  <si>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</si>
  <si>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</si>
  <si>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</si>
  <si>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</si>
  <si>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</si>
  <si>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</si>
  <si>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</si>
  <si>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</si>
  <si>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</si>
  <si>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</si>
  <si>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</si>
  <si>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</si>
  <si>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</si>
  <si>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</si>
  <si>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</si>
  <si>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</si>
  <si>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</si>
  <si>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</si>
  <si>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</si>
  <si>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</si>
  <si>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</si>
  <si>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</si>
  <si>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</si>
  <si>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</si>
  <si>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</si>
  <si>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</si>
  <si>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</si>
  <si>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</si>
  <si>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</si>
  <si>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</si>
  <si>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</si>
  <si>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</si>
  <si>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</si>
  <si>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</si>
  <si>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</si>
  <si>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</si>
  <si>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</si>
  <si>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</si>
  <si>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</si>
  <si>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</si>
  <si>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</si>
  <si>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</si>
  <si>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</si>
  <si>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</si>
  <si>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</si>
  <si>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</si>
  <si>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</si>
  <si>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</si>
  <si>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</si>
  <si>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</si>
  <si>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</si>
  <si>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</si>
  <si>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</si>
  <si>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</si>
  <si>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</si>
  <si>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</si>
  <si>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</si>
  <si>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</si>
  <si>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</si>
  <si>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</si>
  <si>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</si>
  <si>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</si>
  <si>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</si>
  <si>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</si>
  <si>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</si>
  <si>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</si>
  <si>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</si>
  <si>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</si>
  <si>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</si>
  <si>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</si>
  <si>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</si>
  <si>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</si>
  <si>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</si>
  <si>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</si>
  <si>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</si>
  <si>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</si>
  <si>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</si>
  <si>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</si>
  <si>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</si>
  <si>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</si>
  <si>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</si>
  <si>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</si>
  <si>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</si>
  <si>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</si>
  <si>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</si>
  <si>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</si>
  <si>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</si>
  <si>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</si>
  <si>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</si>
  <si>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</si>
  <si>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</si>
  <si>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</si>
  <si>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</si>
  <si>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</si>
  <si>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</si>
  <si>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</si>
  <si>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</si>
  <si>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</si>
  <si>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</si>
  <si>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</si>
  <si>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</si>
  <si>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</si>
  <si>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</si>
  <si>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</si>
  <si>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</si>
  <si>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</si>
  <si>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</si>
  <si>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</si>
  <si>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</si>
  <si>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</si>
  <si>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</si>
  <si>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</si>
  <si>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</si>
  <si>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</si>
  <si>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</si>
  <si>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</si>
  <si>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</si>
  <si>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</si>
  <si>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</si>
  <si>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</si>
  <si>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</si>
  <si>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</si>
  <si>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</si>
  <si>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</si>
  <si>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</si>
  <si>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</si>
  <si>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</si>
  <si>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</si>
  <si>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</si>
  <si>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</si>
  <si>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</si>
  <si>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</si>
  <si>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</si>
  <si>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</si>
  <si>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</si>
  <si>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</si>
  <si>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</si>
  <si>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</si>
  <si>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</si>
  <si>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</si>
  <si>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</si>
  <si>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</si>
  <si>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</si>
  <si>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</si>
  <si>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</si>
  <si>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</si>
  <si>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</si>
  <si>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</si>
  <si>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</si>
  <si>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</si>
  <si>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</si>
  <si>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</si>
  <si>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</si>
  <si>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</si>
  <si>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</si>
  <si>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</si>
  <si>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</si>
  <si>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</si>
  <si>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</si>
  <si>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</si>
  <si>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</si>
  <si>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</si>
  <si>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</si>
  <si>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</si>
  <si>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</si>
  <si>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</si>
  <si>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</si>
  <si>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</si>
  <si>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</si>
  <si>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</si>
  <si>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</si>
  <si>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</si>
  <si>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</si>
  <si>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</si>
  <si>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</si>
  <si>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</si>
  <si>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</si>
  <si>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</si>
  <si>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</si>
  <si>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</si>
  <si>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</si>
  <si>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</si>
  <si>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</si>
  <si>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</si>
  <si>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</si>
  <si>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</si>
  <si>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</si>
  <si>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</si>
  <si>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</si>
  <si>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</si>
  <si>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</si>
  <si>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</si>
  <si>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</si>
  <si>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</si>
  <si>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</si>
  <si>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</si>
  <si>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</si>
  <si>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</si>
  <si>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</si>
  <si>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</si>
  <si>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</si>
  <si>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</si>
  <si>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</si>
  <si>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</si>
  <si>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</si>
  <si>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</si>
  <si>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</si>
  <si>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</si>
  <si>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</si>
  <si>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</si>
  <si>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</si>
  <si>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</si>
  <si>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</si>
  <si>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</si>
  <si>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</si>
  <si>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</si>
  <si>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</si>
  <si>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</si>
  <si>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</si>
  <si>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</si>
  <si>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</si>
  <si>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</si>
  <si>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</si>
  <si>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</si>
  <si>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</si>
  <si>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</si>
  <si>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</si>
  <si>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</si>
  <si>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</si>
  <si>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</si>
  <si>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</si>
  <si>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</si>
  <si>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</si>
  <si>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</si>
  <si>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</si>
  <si>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</si>
  <si>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</si>
  <si>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</si>
  <si>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</si>
  <si>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</si>
  <si>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</si>
  <si>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</si>
  <si>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</si>
  <si>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</si>
  <si>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</si>
  <si>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</si>
  <si>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</si>
  <si>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</si>
  <si>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</si>
  <si>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</si>
  <si>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</si>
  <si>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</si>
  <si>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</si>
  <si>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</si>
  <si>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</si>
  <si>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</si>
  <si>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</si>
  <si>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</si>
  <si>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</si>
  <si>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</si>
  <si>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</si>
  <si>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</si>
  <si>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</si>
  <si>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</si>
  <si>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</si>
  <si>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</si>
  <si>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</si>
  <si>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</si>
  <si>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</si>
  <si>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</si>
  <si>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</si>
  <si>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</si>
  <si>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</si>
  <si>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</si>
  <si>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</si>
  <si>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</si>
  <si>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</si>
  <si>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</si>
  <si>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</si>
  <si>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</si>
  <si>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</si>
  <si>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</si>
  <si>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</si>
  <si>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</si>
  <si>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</si>
  <si>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</si>
  <si>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</si>
  <si>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</si>
  <si>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</si>
  <si>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</si>
  <si>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</si>
  <si>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</si>
  <si>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</si>
  <si>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</si>
  <si>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</si>
  <si>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</si>
  <si>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</si>
  <si>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</si>
  <si>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</si>
  <si>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</si>
  <si>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</si>
  <si>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</si>
  <si>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</si>
  <si>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</si>
  <si>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</si>
  <si>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</si>
  <si>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</si>
  <si>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</si>
  <si>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</si>
  <si>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</si>
  <si>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</si>
  <si>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</si>
  <si>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</si>
  <si>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</si>
  <si>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</si>
  <si>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</si>
  <si>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</si>
  <si>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</si>
  <si>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</si>
  <si>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</si>
  <si>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</si>
  <si>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</si>
  <si>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</si>
  <si>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</si>
  <si>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</si>
  <si>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</si>
  <si>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</si>
  <si>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</si>
  <si>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</si>
  <si>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</si>
  <si>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</si>
  <si>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</si>
  <si>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</si>
  <si>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</si>
  <si>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</si>
  <si>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</si>
  <si>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</si>
  <si>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</si>
  <si>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</si>
  <si>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</si>
  <si>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</si>
  <si>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</si>
  <si>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</si>
  <si>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</si>
  <si>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</si>
  <si>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</si>
  <si>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</si>
  <si>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</si>
  <si>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</si>
  <si>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</si>
  <si>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</si>
  <si>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</si>
  <si>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</si>
  <si>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</si>
  <si>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</si>
  <si>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</si>
  <si>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</si>
  <si>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</si>
  <si>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</si>
  <si>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</si>
  <si>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</si>
  <si>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</si>
  <si>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</si>
  <si>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</si>
  <si>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</si>
  <si>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</si>
  <si>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</si>
  <si>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</si>
  <si>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</si>
  <si>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</si>
  <si>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</si>
  <si>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</si>
  <si>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</si>
  <si>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</si>
  <si>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</si>
  <si>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</si>
  <si>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</si>
  <si>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</si>
  <si>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</si>
  <si>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</si>
  <si>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</si>
  <si>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</si>
  <si>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</si>
  <si>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</si>
  <si>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</si>
  <si>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</si>
  <si>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</si>
  <si>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</si>
  <si>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</si>
  <si>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</si>
  <si>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</si>
  <si>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</si>
  <si>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</si>
  <si>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</si>
  <si>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</si>
  <si>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</si>
  <si>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</si>
  <si>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</si>
  <si>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</si>
  <si>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</si>
  <si>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</si>
  <si>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</si>
  <si>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</si>
  <si>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</si>
  <si>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</si>
  <si>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</si>
  <si>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</si>
  <si>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</si>
  <si>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</si>
  <si>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</si>
  <si>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</si>
  <si>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</si>
  <si>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</si>
  <si>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</si>
  <si>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</si>
  <si>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</si>
  <si>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</si>
  <si>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</si>
  <si>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</si>
  <si>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</si>
  <si>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</si>
  <si>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</si>
  <si>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</si>
  <si>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</si>
  <si>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</si>
  <si>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</si>
  <si>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</si>
  <si>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</si>
  <si>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</si>
  <si>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</si>
  <si>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</si>
  <si>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</si>
  <si>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</si>
  <si>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</si>
  <si>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</si>
  <si>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</si>
  <si>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</si>
  <si>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</si>
  <si>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</si>
  <si>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</si>
  <si>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</si>
  <si>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</si>
  <si>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</si>
  <si>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</si>
  <si>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</si>
  <si>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</si>
  <si>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</si>
  <si>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</si>
  <si>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</si>
  <si>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</si>
  <si>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</si>
  <si>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</si>
  <si>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</si>
  <si>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</si>
  <si>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</si>
  <si>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</si>
  <si>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</si>
  <si>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</si>
  <si>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</si>
  <si>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</si>
  <si>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</si>
  <si>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</si>
  <si>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</si>
  <si>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</si>
  <si>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</si>
  <si>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</si>
  <si>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</si>
  <si>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</si>
  <si>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</si>
  <si>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</si>
  <si>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</si>
  <si>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</si>
  <si>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</si>
  <si>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</si>
  <si>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</si>
  <si>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</si>
  <si>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</si>
  <si>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</si>
  <si>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</si>
  <si>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</si>
  <si>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</si>
  <si>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</si>
  <si>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</si>
  <si>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</si>
  <si>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</si>
  <si>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</si>
  <si>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</si>
  <si>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</si>
  <si>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</si>
  <si>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</si>
  <si>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</si>
  <si>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</si>
  <si>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</si>
  <si>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</si>
  <si>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</si>
  <si>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</si>
  <si>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</si>
  <si>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</si>
  <si>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</si>
  <si>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</si>
  <si>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</si>
  <si>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</si>
  <si>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</si>
  <si>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</si>
  <si>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</si>
  <si>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</si>
  <si>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</si>
  <si>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</si>
  <si>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</si>
  <si>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</si>
  <si>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</si>
  <si>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</si>
  <si>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</si>
  <si>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</si>
  <si>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</si>
  <si>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</si>
  <si>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</si>
  <si>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</si>
  <si>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</si>
  <si>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</si>
  <si>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</si>
  <si>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</si>
  <si>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</si>
  <si>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</si>
  <si>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</si>
  <si>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</si>
  <si>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</si>
  <si>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</si>
  <si>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</si>
  <si>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</si>
  <si>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</si>
  <si>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</si>
  <si>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</si>
  <si>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</si>
  <si>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</si>
  <si>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</si>
  <si>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</si>
  <si>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</si>
  <si>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</si>
  <si>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</si>
  <si>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</si>
  <si>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</si>
  <si>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</si>
  <si>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</si>
  <si>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</si>
  <si>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</si>
  <si>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</si>
  <si>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</si>
  <si>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</si>
  <si>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</si>
  <si>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</si>
  <si>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</si>
  <si>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</si>
  <si>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</si>
  <si>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</si>
  <si>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</si>
  <si>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</si>
  <si>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</si>
  <si>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</si>
  <si>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</si>
  <si>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</si>
  <si>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</si>
  <si>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</si>
  <si>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</si>
  <si>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</si>
  <si>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</si>
  <si>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</si>
  <si>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</si>
  <si>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</si>
  <si>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</si>
  <si>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</si>
  <si>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</si>
  <si>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</si>
  <si>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</si>
  <si>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</si>
  <si>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</si>
  <si>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</si>
  <si>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</si>
  <si>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</si>
  <si>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</si>
  <si>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</si>
  <si>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</si>
  <si>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</si>
  <si>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</si>
  <si>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</si>
  <si>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</si>
  <si>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</si>
  <si>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</si>
  <si>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</si>
  <si>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</si>
  <si>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</si>
  <si>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</si>
  <si>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</si>
  <si>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</si>
  <si>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</si>
  <si>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</si>
  <si>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</si>
  <si>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</si>
  <si>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</si>
  <si>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</si>
  <si>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</si>
  <si>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</si>
  <si>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</si>
  <si>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</si>
  <si>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</si>
  <si>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</si>
  <si>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</si>
  <si>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</si>
  <si>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</si>
  <si>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</si>
  <si>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</si>
  <si>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</si>
  <si>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</si>
  <si>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</si>
  <si>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</si>
  <si>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</si>
  <si>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</si>
  <si>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</si>
  <si>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</si>
  <si>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</si>
  <si>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</si>
  <si>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</si>
  <si>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</si>
  <si>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</si>
  <si>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</si>
  <si>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</si>
  <si>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</si>
  <si>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</si>
  <si>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</si>
  <si>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</si>
  <si>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</si>
  <si>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</si>
  <si>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</si>
  <si>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</si>
  <si>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</si>
  <si>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</si>
  <si>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</si>
  <si>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</si>
  <si>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</si>
  <si>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</si>
  <si>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</si>
  <si>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</si>
  <si>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</si>
  <si>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</si>
  <si>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</si>
  <si>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</si>
  <si>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</si>
  <si>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</si>
  <si>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</si>
  <si>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</si>
  <si>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</si>
  <si>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</si>
  <si>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</si>
  <si>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</si>
  <si>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</si>
  <si>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</si>
  <si>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</si>
  <si>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</si>
  <si>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</si>
  <si>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</si>
  <si>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</si>
  <si>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</si>
  <si>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</si>
  <si>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</si>
  <si>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</si>
  <si>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</si>
  <si>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</si>
  <si>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</si>
  <si>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</si>
  <si>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</si>
  <si>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</si>
  <si>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</si>
  <si>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</si>
  <si>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</si>
  <si>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</si>
  <si>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</si>
  <si>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</si>
  <si>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</si>
  <si>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</si>
  <si>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</si>
  <si>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</si>
  <si>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</si>
  <si>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</si>
  <si>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</si>
  <si>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</si>
  <si>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</si>
  <si>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</si>
  <si>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</si>
  <si>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</si>
  <si>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</si>
  <si>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</si>
  <si>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</si>
  <si>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</si>
  <si>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</si>
  <si>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</si>
  <si>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</si>
  <si>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</si>
  <si>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</si>
  <si>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</si>
  <si>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</si>
  <si>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</si>
  <si>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</si>
  <si>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</si>
  <si>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</si>
  <si>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</si>
  <si>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</si>
  <si>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</si>
  <si>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</si>
  <si>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</si>
  <si>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</si>
  <si>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</si>
  <si>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</si>
  <si>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</si>
  <si>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</si>
  <si>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</si>
  <si>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</si>
  <si>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</si>
  <si>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</si>
  <si>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</si>
  <si>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</si>
  <si>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</si>
  <si>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</si>
  <si>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</si>
  <si>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</si>
  <si>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</si>
  <si>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</si>
  <si>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</si>
  <si>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</si>
  <si>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</si>
  <si>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</si>
  <si>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</si>
  <si>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</si>
  <si>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</si>
  <si>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</si>
  <si>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</si>
  <si>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</si>
  <si>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</si>
  <si>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</si>
  <si>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</si>
  <si>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</si>
  <si>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</si>
  <si>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</si>
  <si>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</si>
  <si>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</si>
  <si>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</si>
  <si>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</si>
  <si>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</si>
  <si>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</si>
  <si>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</si>
  <si>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</si>
  <si>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</si>
  <si>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</si>
  <si>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</si>
  <si>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</si>
  <si>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</si>
  <si>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</si>
  <si>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</si>
  <si>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</si>
  <si>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</si>
  <si>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</si>
  <si>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</si>
  <si>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</si>
  <si>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</si>
  <si>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</si>
  <si>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</si>
  <si>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</si>
  <si>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</si>
  <si>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</si>
  <si>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</si>
  <si>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</si>
  <si>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</si>
  <si>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</si>
  <si>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</si>
  <si>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</si>
  <si>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</si>
  <si>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</si>
  <si>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</si>
  <si>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</si>
  <si>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</si>
  <si>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</si>
  <si>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</si>
  <si>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</si>
  <si>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</si>
  <si>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</si>
  <si>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</si>
  <si>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</si>
  <si>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</si>
  <si>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</si>
  <si>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</si>
  <si>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</si>
  <si>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</si>
  <si>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</si>
  <si>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</si>
  <si>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</si>
  <si>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</si>
  <si>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</si>
  <si>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</si>
  <si>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</si>
  <si>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</si>
  <si>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</si>
  <si>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</si>
  <si>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</si>
  <si>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</si>
  <si>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</si>
  <si>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</si>
  <si>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</si>
  <si>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</si>
  <si>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</si>
  <si>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</si>
  <si>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</si>
  <si>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</si>
  <si>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</si>
  <si>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</si>
  <si>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</si>
  <si>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</si>
  <si>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</si>
  <si>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</si>
  <si>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</si>
  <si>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</si>
  <si>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</si>
  <si>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</si>
  <si>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</si>
  <si>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</si>
  <si>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</si>
  <si>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</si>
  <si>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</si>
  <si>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</si>
  <si>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</si>
  <si>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</si>
  <si>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</si>
  <si>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</si>
  <si>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</si>
  <si>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</si>
  <si>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</si>
  <si>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</si>
  <si>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</si>
  <si>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</si>
  <si>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</si>
  <si>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</si>
  <si>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</si>
  <si>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</si>
  <si>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</si>
  <si>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</si>
  <si>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</si>
  <si>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</si>
  <si>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</si>
  <si>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</si>
  <si>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</si>
  <si>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</si>
  <si>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</si>
  <si>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</si>
  <si>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</si>
  <si>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</si>
  <si>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</si>
  <si>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</si>
  <si>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</si>
  <si>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</si>
  <si>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</si>
  <si>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</si>
  <si>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</si>
  <si>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</si>
  <si>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</si>
  <si>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</si>
  <si>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</si>
  <si>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</si>
  <si>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</si>
  <si>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</si>
  <si>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</si>
  <si>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</si>
  <si>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</si>
  <si>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</si>
  <si>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</si>
  <si>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</si>
  <si>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</si>
  <si>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</si>
  <si>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</si>
  <si>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</si>
  <si>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</si>
  <si>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</si>
  <si>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</si>
  <si>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</si>
  <si>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</si>
  <si>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</si>
  <si>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</si>
  <si>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</si>
  <si>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</si>
  <si>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</si>
  <si>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</si>
  <si>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</si>
  <si>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</si>
  <si>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</si>
  <si>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</si>
  <si>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</si>
  <si>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</si>
  <si>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</si>
  <si>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</si>
  <si>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</si>
  <si>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</si>
  <si>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</si>
  <si>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</si>
  <si>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</si>
  <si>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</si>
  <si>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</si>
  <si>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</si>
  <si>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</si>
  <si>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</si>
  <si>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</si>
  <si>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</si>
  <si>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</si>
  <si>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</si>
  <si>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</si>
  <si>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</si>
  <si>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</si>
  <si>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</si>
  <si>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</si>
  <si>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</si>
  <si>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</si>
  <si>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</si>
  <si>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</si>
  <si>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</si>
  <si>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</si>
  <si>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</si>
  <si>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</si>
  <si>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</si>
  <si>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</si>
  <si>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</si>
  <si>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</si>
  <si>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</si>
  <si>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</si>
  <si>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</si>
  <si>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</si>
  <si>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</si>
  <si>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</si>
  <si>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</si>
  <si>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</si>
  <si>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</si>
  <si>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</si>
  <si>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</si>
  <si>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</si>
  <si>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</si>
  <si>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</si>
  <si>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</si>
  <si>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</si>
  <si>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</si>
  <si>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</si>
  <si>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</si>
  <si>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</si>
  <si>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</si>
  <si>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</si>
  <si>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</si>
  <si>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</si>
  <si>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</si>
  <si>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</si>
  <si>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</si>
  <si>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</si>
  <si>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</si>
  <si>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</si>
  <si>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</si>
  <si>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</si>
  <si>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</si>
  <si>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</si>
  <si>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</si>
  <si>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</si>
  <si>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</si>
  <si>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</si>
  <si>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</si>
  <si>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</si>
  <si>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</si>
  <si>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</si>
  <si>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</si>
  <si>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</si>
  <si>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</si>
  <si>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</si>
  <si>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</si>
  <si>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</si>
  <si>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</si>
  <si>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</si>
  <si>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</si>
  <si>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</si>
  <si>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</si>
  <si>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</si>
  <si>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</si>
  <si>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</si>
  <si>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</si>
  <si>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</si>
  <si>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</si>
  <si>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</si>
  <si>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</si>
  <si>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</si>
  <si>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</si>
  <si>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</si>
  <si>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</si>
  <si>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</si>
  <si>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</si>
  <si>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</si>
  <si>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</si>
  <si>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</si>
  <si>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</si>
  <si>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</si>
  <si>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</si>
  <si>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</si>
  <si>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</si>
  <si>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</si>
  <si>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</si>
  <si>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</si>
  <si>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</si>
  <si>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</si>
  <si>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</si>
  <si>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</si>
  <si>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</si>
  <si>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</si>
  <si>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</si>
  <si>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</si>
  <si>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</si>
  <si>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</si>
  <si>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</si>
  <si>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</si>
  <si>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</si>
  <si>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</si>
  <si>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</si>
  <si>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</si>
  <si>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</si>
  <si>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</si>
  <si>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</si>
  <si>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</si>
  <si>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</si>
  <si>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</si>
  <si>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</si>
  <si>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</si>
  <si>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</si>
  <si>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</si>
  <si>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</si>
  <si>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</si>
  <si>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</si>
  <si>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</si>
  <si>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</si>
  <si>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</si>
  <si>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</si>
  <si>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</si>
  <si>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</si>
  <si>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</si>
  <si>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</si>
  <si>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</si>
  <si>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</si>
  <si>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</si>
  <si>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</si>
  <si>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</si>
  <si>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</si>
  <si>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</si>
  <si>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</si>
  <si>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</si>
  <si>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</si>
  <si>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</si>
  <si>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</si>
  <si>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</si>
  <si>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</si>
  <si>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</si>
  <si>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</si>
  <si>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</si>
  <si>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</si>
  <si>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</si>
  <si>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</si>
  <si>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</si>
  <si>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</si>
  <si>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</si>
  <si>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</si>
  <si>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</si>
  <si>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</si>
  <si>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</si>
  <si>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</si>
  <si>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</si>
  <si>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</si>
  <si>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</si>
  <si>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</si>
  <si>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</si>
  <si>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</si>
  <si>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</si>
  <si>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</si>
  <si>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</si>
  <si>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</si>
  <si>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</si>
  <si>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</si>
  <si>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</si>
  <si>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</si>
  <si>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</si>
  <si>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</si>
  <si>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</si>
  <si>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</si>
  <si>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</si>
  <si>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</si>
  <si>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</si>
  <si>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</si>
  <si>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</si>
  <si>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</si>
  <si>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</si>
  <si>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</si>
  <si>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</si>
  <si>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</si>
  <si>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</si>
  <si>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</si>
  <si>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</si>
  <si>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</si>
  <si>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</si>
  <si>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</si>
  <si>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</si>
  <si>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</si>
  <si>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</si>
  <si>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</si>
  <si>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</si>
  <si>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</si>
  <si>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</si>
  <si>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</si>
  <si>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</si>
  <si>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</si>
  <si>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</si>
  <si>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</si>
  <si>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</si>
  <si>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</si>
  <si>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</si>
  <si>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</si>
  <si>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</si>
  <si>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</si>
  <si>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</si>
  <si>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</si>
  <si>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</si>
  <si>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</si>
  <si>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</si>
  <si>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</si>
  <si>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</si>
  <si>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</si>
  <si>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</si>
  <si>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</si>
  <si>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</si>
  <si>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</si>
  <si>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</si>
  <si>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</si>
  <si>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</si>
  <si>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</si>
  <si>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</si>
  <si>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</si>
  <si>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</si>
  <si>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</si>
  <si>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</si>
  <si>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</si>
  <si>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</si>
  <si>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</si>
  <si>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</si>
  <si>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</si>
  <si>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</si>
  <si>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</si>
  <si>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</si>
  <si>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</si>
  <si>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</si>
  <si>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</si>
  <si>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</si>
  <si>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</si>
  <si>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</si>
  <si>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</si>
  <si>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</si>
  <si>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</si>
  <si>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</si>
  <si>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</si>
  <si>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</si>
  <si>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</si>
  <si>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</si>
  <si>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</si>
  <si>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</si>
  <si>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</si>
  <si>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</si>
  <si>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</si>
  <si>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</si>
  <si>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</si>
  <si>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</si>
  <si>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</si>
  <si>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</si>
  <si>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</si>
  <si>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</si>
  <si>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</si>
  <si>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</si>
  <si>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</si>
  <si>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</si>
  <si>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</si>
  <si>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</si>
  <si>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</si>
  <si>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</si>
  <si>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</si>
  <si>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</si>
  <si>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</si>
  <si>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</si>
  <si>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</si>
  <si>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</si>
  <si>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</si>
  <si>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</si>
  <si>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</si>
  <si>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</si>
  <si>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</si>
  <si>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</si>
  <si>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</si>
  <si>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</si>
  <si>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</si>
  <si>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</si>
  <si>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</si>
  <si>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</si>
  <si>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</si>
  <si>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</si>
  <si>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</si>
  <si>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</si>
  <si>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</si>
  <si>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</si>
  <si>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</si>
  <si>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</si>
  <si>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</si>
  <si>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</si>
  <si>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</si>
  <si>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</si>
  <si>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</si>
  <si>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</si>
  <si>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</si>
  <si>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</si>
  <si>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</si>
  <si>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</si>
  <si>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</si>
  <si>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</si>
  <si>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</si>
  <si>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</si>
  <si>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</si>
  <si>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</si>
  <si>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</si>
  <si>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</si>
  <si>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</si>
  <si>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</si>
  <si>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</si>
  <si>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</si>
  <si>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</si>
  <si>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</si>
  <si>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</si>
  <si>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</si>
  <si>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</si>
  <si>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</si>
  <si>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</si>
  <si>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</si>
  <si>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</si>
  <si>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</si>
  <si>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</si>
  <si>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</si>
  <si>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</si>
  <si>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</si>
  <si>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</si>
  <si>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</si>
  <si>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</si>
  <si>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</si>
  <si>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</si>
  <si>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</si>
  <si>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</si>
  <si>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</si>
  <si>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</si>
  <si>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</si>
  <si>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</si>
  <si>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</si>
  <si>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</si>
  <si>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</si>
  <si>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</si>
  <si>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</si>
  <si>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</si>
  <si>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</si>
  <si>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</si>
  <si>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</si>
  <si>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</si>
  <si>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</si>
  <si>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</si>
  <si>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</si>
  <si>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</si>
  <si>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</si>
  <si>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</si>
  <si>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</si>
  <si>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</si>
  <si>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</si>
  <si>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</si>
  <si>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</si>
  <si>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</si>
  <si>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</si>
  <si>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</si>
  <si>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</si>
  <si>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</si>
  <si>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</si>
  <si>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</si>
  <si>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</si>
  <si>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</si>
  <si>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</si>
  <si>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</si>
  <si>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</si>
  <si>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</si>
  <si>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</si>
  <si>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</si>
  <si>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</si>
  <si>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</si>
  <si>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</si>
  <si>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</si>
  <si>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</si>
  <si>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</si>
  <si>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</si>
  <si>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</si>
  <si>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</si>
  <si>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</si>
  <si>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</si>
  <si>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</si>
  <si>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</si>
  <si>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</si>
  <si>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</si>
  <si>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</si>
  <si>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</si>
  <si>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</si>
  <si>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</si>
  <si>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</si>
  <si>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</si>
  <si>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</si>
  <si>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</si>
  <si>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</si>
  <si>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</si>
  <si>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</si>
  <si>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</si>
  <si>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</si>
  <si>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</si>
  <si>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</si>
  <si>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</si>
  <si>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</si>
  <si>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</si>
  <si>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</si>
  <si>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</si>
  <si>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</si>
  <si>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</si>
  <si>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</si>
  <si>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</si>
  <si>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</si>
  <si>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</si>
  <si>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</si>
  <si>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</si>
  <si>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</si>
  <si>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</si>
  <si>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</si>
  <si>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</si>
  <si>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</si>
  <si>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</si>
  <si>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</si>
  <si>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</si>
  <si>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</si>
  <si>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</si>
  <si>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</si>
  <si>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</si>
  <si>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</si>
  <si>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</si>
  <si>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</si>
  <si>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</si>
  <si>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</si>
  <si>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</si>
  <si>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</si>
  <si>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</si>
  <si>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</si>
  <si>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</si>
  <si>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</si>
  <si>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</si>
  <si>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</si>
  <si>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</si>
  <si>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</si>
  <si>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</si>
  <si>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</si>
  <si>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</si>
  <si>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</si>
  <si>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</si>
  <si>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</si>
  <si>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</si>
  <si>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</si>
  <si>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</si>
  <si>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</si>
  <si>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</si>
  <si>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</si>
  <si>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</si>
  <si>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</si>
  <si>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</si>
  <si>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</si>
  <si>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</si>
  <si>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</si>
  <si>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</si>
  <si>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</si>
  <si>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</si>
  <si>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</si>
  <si>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</si>
  <si>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</si>
  <si>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</si>
  <si>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</si>
  <si>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</si>
  <si>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</si>
  <si>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</si>
  <si>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</si>
  <si>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</si>
  <si>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</si>
  <si>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</si>
  <si>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</si>
  <si>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</si>
  <si>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</si>
  <si>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</si>
  <si>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</si>
  <si>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</si>
  <si>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</si>
  <si>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</si>
  <si>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</si>
  <si>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</si>
  <si>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</si>
  <si>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</si>
  <si>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</si>
  <si>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</si>
  <si>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</si>
  <si>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</si>
  <si>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</si>
  <si>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</si>
  <si>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</si>
  <si>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</si>
  <si>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</si>
  <si>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</si>
  <si>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</si>
  <si>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</si>
  <si>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</si>
  <si>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</si>
  <si>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</si>
  <si>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</si>
  <si>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</si>
  <si>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</si>
  <si>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</si>
  <si>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</si>
  <si>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</si>
  <si>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</si>
  <si>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</si>
  <si>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</si>
  <si>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</si>
  <si>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</si>
  <si>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</si>
  <si>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</si>
  <si>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</si>
  <si>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</si>
  <si>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</si>
  <si>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</si>
  <si>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</si>
  <si>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</si>
  <si>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</si>
  <si>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</si>
  <si>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</si>
  <si>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</si>
  <si>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</si>
  <si>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</si>
  <si>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</si>
  <si>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</si>
  <si>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</si>
  <si>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</si>
  <si>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</si>
  <si>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</si>
  <si>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</si>
  <si>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</si>
  <si>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</si>
  <si>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</si>
  <si>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</si>
  <si>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</si>
  <si>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</si>
  <si>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</si>
  <si>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</si>
  <si>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</si>
  <si>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</si>
  <si>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</si>
  <si>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</si>
  <si>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</si>
  <si>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</si>
  <si>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</si>
  <si>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</si>
  <si>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</si>
  <si>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</si>
  <si>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</si>
  <si>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</si>
  <si>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</si>
  <si>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</si>
  <si>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</si>
  <si>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</si>
  <si>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</si>
  <si>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</si>
  <si>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</si>
  <si>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</si>
  <si>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</si>
  <si>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</si>
  <si>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</si>
  <si>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</si>
  <si>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</si>
  <si>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</si>
  <si>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</si>
  <si>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</si>
  <si>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</si>
  <si>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</si>
  <si>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</si>
  <si>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</si>
  <si>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</si>
  <si>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</si>
  <si>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</si>
  <si>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</si>
  <si>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</si>
  <si>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</si>
  <si>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</si>
  <si>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</si>
  <si>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</si>
  <si>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</si>
  <si>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</si>
  <si>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</si>
  <si>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</si>
  <si>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</si>
  <si>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</si>
  <si>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</si>
  <si>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</si>
  <si>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</si>
  <si>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</si>
  <si>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</si>
  <si>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</si>
  <si>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</si>
  <si>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</si>
  <si>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</si>
  <si>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</si>
  <si>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</si>
  <si>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</si>
  <si>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</si>
  <si>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</si>
  <si>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</si>
  <si>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</si>
  <si>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</si>
  <si>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</si>
  <si>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</si>
  <si>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</si>
  <si>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</si>
  <si>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</si>
  <si>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</si>
  <si>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</si>
  <si>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</si>
  <si>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</si>
  <si>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</si>
  <si>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</si>
  <si>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</si>
  <si>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</si>
  <si>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</si>
  <si>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</si>
  <si>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</si>
  <si>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</si>
  <si>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</si>
  <si>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</si>
  <si>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</si>
  <si>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</si>
  <si>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</si>
  <si>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</si>
  <si>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</si>
  <si>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</si>
  <si>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</si>
  <si>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</si>
  <si>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</si>
  <si>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</si>
  <si>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</si>
  <si>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</si>
  <si>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</si>
  <si>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</si>
  <si>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</si>
  <si>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</si>
  <si>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</si>
  <si>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</si>
  <si>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</si>
  <si>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</si>
  <si>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</si>
  <si>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</si>
  <si>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</si>
  <si>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</si>
  <si>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</si>
  <si>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</si>
  <si>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</si>
  <si>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</si>
  <si>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</si>
  <si>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</si>
  <si>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</si>
  <si>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</si>
  <si>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</si>
  <si>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</si>
  <si>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</si>
  <si>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</si>
  <si>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</si>
  <si>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</si>
  <si>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</si>
  <si>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</si>
  <si>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</si>
  <si>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</si>
  <si>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</si>
  <si>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</si>
  <si>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</si>
  <si>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</si>
  <si>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</si>
  <si>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</si>
  <si>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</si>
  <si>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</si>
  <si>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</si>
  <si>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</si>
  <si>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</si>
  <si>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</si>
  <si>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</si>
  <si>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</si>
  <si>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</si>
  <si>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</si>
  <si>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</si>
  <si>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</si>
  <si>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</si>
  <si>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</si>
  <si>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</si>
  <si>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</si>
  <si>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</si>
  <si>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</si>
  <si>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</si>
  <si>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</si>
  <si>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</si>
  <si>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</si>
  <si>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</si>
  <si>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</si>
  <si>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</si>
  <si>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</si>
  <si>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</si>
  <si>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</si>
  <si>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</si>
  <si>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</si>
  <si>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</si>
  <si>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</si>
  <si>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</si>
  <si>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</si>
  <si>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</si>
  <si>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</si>
  <si>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</si>
  <si>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</si>
  <si>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</si>
  <si>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</si>
  <si>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</si>
  <si>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</si>
  <si>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</si>
  <si>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</si>
  <si>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</si>
  <si>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</si>
  <si>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</si>
  <si>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</si>
  <si>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</si>
  <si>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</si>
  <si>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</si>
  <si>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</si>
  <si>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</si>
  <si>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</si>
  <si>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</si>
  <si>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</si>
  <si>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</si>
  <si>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</si>
  <si>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</si>
  <si>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</si>
  <si>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</si>
  <si>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</si>
  <si>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</si>
  <si>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</si>
  <si>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</si>
  <si>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</si>
  <si>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</si>
  <si>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</si>
  <si>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</si>
  <si>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</si>
  <si>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</si>
  <si>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</si>
  <si>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</si>
  <si>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</si>
  <si>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</si>
  <si>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</si>
  <si>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</si>
  <si>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</si>
  <si>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</si>
  <si>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</si>
  <si>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</si>
  <si>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</si>
  <si>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</si>
  <si>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</si>
  <si>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</si>
  <si>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</si>
  <si>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</si>
  <si>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</si>
  <si>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</si>
  <si>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</si>
  <si>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</si>
  <si>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</si>
  <si>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</si>
  <si>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</si>
  <si>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</si>
  <si>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</si>
  <si>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</si>
  <si>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</si>
  <si>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</si>
  <si>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</si>
  <si>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</si>
  <si>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</si>
  <si>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</si>
  <si>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</si>
  <si>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</si>
  <si>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</si>
  <si>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</si>
  <si>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</si>
  <si>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</si>
  <si>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</si>
  <si>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</si>
  <si>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</si>
  <si>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</si>
  <si>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</si>
  <si>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</si>
  <si>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</si>
  <si>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</si>
  <si>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</si>
  <si>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</si>
  <si>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</si>
  <si>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</si>
  <si>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</si>
  <si>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</si>
  <si>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</si>
  <si>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</si>
  <si>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</si>
  <si>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</si>
  <si>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</si>
  <si>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</si>
  <si>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</si>
  <si>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</si>
  <si>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</si>
  <si>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</si>
  <si>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</si>
  <si>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</si>
  <si>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</si>
  <si>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</si>
  <si>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</si>
  <si>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</si>
  <si>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</si>
  <si>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</si>
  <si>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</si>
  <si>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</si>
  <si>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</si>
  <si>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</si>
  <si>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</si>
  <si>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</si>
  <si>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</si>
  <si>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</si>
  <si>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</si>
  <si>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</si>
  <si>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</si>
  <si>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</si>
  <si>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</si>
  <si>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</si>
  <si>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</si>
  <si>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</si>
  <si>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</si>
  <si>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</si>
  <si>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</si>
  <si>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</si>
  <si>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</si>
  <si>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</si>
  <si>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</si>
  <si>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</si>
  <si>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</si>
  <si>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</si>
  <si>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</si>
  <si>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</si>
  <si>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</si>
  <si>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</si>
  <si>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</si>
  <si>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</si>
  <si>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</si>
  <si>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</si>
  <si>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</si>
  <si>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</si>
  <si>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</si>
  <si>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</si>
  <si>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</si>
  <si>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</si>
  <si>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</si>
  <si>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</si>
  <si>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</si>
  <si>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</si>
  <si>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</si>
  <si>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</si>
  <si>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</si>
  <si>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</si>
  <si>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</si>
  <si>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</si>
  <si>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</si>
  <si>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</si>
  <si>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</si>
  <si>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</si>
  <si>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</si>
  <si>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</si>
  <si>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</si>
  <si>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</si>
  <si>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</si>
  <si>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</si>
  <si>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</si>
  <si>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</si>
  <si>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</si>
  <si>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</si>
  <si>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</si>
  <si>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</si>
  <si>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</si>
  <si>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</si>
  <si>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</si>
  <si>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</si>
  <si>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</si>
  <si>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</si>
  <si>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</si>
  <si>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</si>
  <si>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</si>
  <si>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</si>
  <si>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</si>
  <si>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</si>
  <si>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</si>
  <si>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</si>
  <si>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</si>
  <si>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</si>
  <si>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</si>
  <si>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</si>
  <si>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</si>
  <si>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</si>
  <si>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</si>
  <si>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</si>
  <si>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</si>
  <si>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</si>
  <si>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</si>
  <si>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</si>
  <si>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</si>
  <si>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</si>
  <si>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</si>
  <si>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</si>
  <si>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</si>
  <si>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</si>
  <si>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</si>
  <si>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</si>
  <si>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</si>
  <si>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</si>
  <si>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</si>
  <si>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</si>
  <si>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</si>
  <si>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</si>
  <si>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</si>
  <si>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</si>
  <si>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</si>
  <si>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</si>
  <si>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</si>
  <si>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</si>
  <si>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</si>
  <si>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</si>
  <si>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</si>
  <si>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</si>
  <si>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</si>
  <si>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</si>
  <si>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</si>
  <si>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</si>
  <si>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</si>
  <si>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</si>
  <si>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</si>
  <si>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</si>
  <si>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</si>
  <si>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</si>
  <si>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</si>
  <si>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</si>
  <si>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</si>
  <si>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</si>
  <si>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</si>
  <si>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</si>
  <si>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</si>
  <si>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</si>
  <si>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</si>
  <si>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</si>
  <si>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</si>
  <si>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</si>
  <si>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</si>
  <si>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</si>
  <si>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</si>
  <si>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</si>
  <si>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</si>
  <si>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</si>
  <si>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</si>
  <si>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</si>
  <si>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</si>
  <si>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</si>
  <si>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</si>
  <si>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</si>
  <si>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</si>
  <si>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</si>
  <si>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</si>
  <si>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</si>
  <si>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</si>
  <si>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</si>
  <si>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</si>
  <si>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</si>
  <si>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</si>
  <si>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</si>
  <si>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</si>
  <si>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</si>
  <si>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</si>
  <si>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</si>
  <si>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</si>
  <si>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</si>
  <si>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</si>
  <si>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</si>
  <si>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</si>
  <si>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</si>
  <si>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</si>
  <si>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</si>
  <si>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</si>
  <si>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</si>
  <si>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</si>
  <si>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</si>
  <si>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</si>
  <si>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</si>
  <si>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</si>
  <si>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</si>
  <si>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</si>
  <si>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</si>
  <si>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</si>
  <si>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</si>
  <si>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</si>
  <si>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</si>
  <si>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</si>
  <si>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</si>
  <si>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</si>
  <si>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</si>
  <si>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</si>
  <si>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</si>
  <si>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</si>
  <si>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</si>
  <si>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</si>
  <si>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</si>
  <si>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</si>
  <si>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</si>
  <si>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</si>
  <si>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</si>
  <si>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</si>
  <si>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</si>
  <si>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</si>
  <si>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</si>
  <si>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</si>
  <si>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</si>
  <si>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</si>
  <si>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</si>
  <si>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</si>
  <si>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</si>
  <si>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</si>
  <si>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</si>
  <si>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</si>
  <si>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</si>
  <si>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</si>
  <si>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</si>
  <si>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</si>
  <si>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</si>
  <si>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</si>
  <si>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</si>
  <si>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</si>
  <si>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</si>
  <si>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</si>
  <si>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</si>
  <si>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</si>
  <si>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</si>
  <si>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</si>
  <si>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</si>
  <si>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</si>
  <si>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</si>
  <si>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</si>
  <si>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</si>
  <si>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</si>
  <si>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</si>
  <si>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</si>
  <si>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</si>
  <si>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</si>
  <si>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</si>
  <si>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</si>
  <si>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</si>
  <si>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</si>
  <si>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</si>
  <si>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</si>
  <si>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</si>
  <si>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</si>
  <si>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</si>
  <si>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</si>
  <si>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</si>
  <si>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</si>
  <si>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</si>
  <si>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</si>
  <si>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</si>
  <si>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</si>
  <si>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</si>
  <si>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</si>
  <si>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</si>
  <si>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</si>
  <si>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</si>
  <si>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</si>
  <si>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</si>
  <si>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</si>
  <si>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</si>
  <si>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</si>
  <si>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</si>
  <si>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</si>
  <si>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</si>
  <si>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</si>
  <si>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</si>
  <si>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</si>
  <si>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</si>
  <si>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</si>
  <si>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</si>
  <si>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</si>
  <si>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</si>
  <si>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</si>
  <si>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</si>
  <si>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</si>
  <si>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</si>
  <si>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</si>
  <si>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</si>
  <si>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</si>
  <si>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</si>
  <si>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</si>
  <si>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</si>
  <si>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</si>
  <si>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</si>
  <si>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</si>
  <si>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</si>
  <si>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</si>
  <si>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</si>
  <si>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</si>
  <si>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</si>
  <si>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</si>
  <si>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</si>
  <si>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</si>
  <si>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</si>
  <si>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</si>
  <si>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</si>
  <si>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</si>
  <si>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</si>
  <si>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</si>
  <si>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</si>
  <si>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</si>
  <si>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</si>
  <si>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</si>
  <si>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</si>
  <si>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</si>
  <si>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</si>
  <si>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</si>
  <si>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</si>
  <si>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</si>
  <si>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</si>
  <si>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</si>
  <si>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</si>
  <si>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</si>
  <si>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</si>
  <si>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</si>
  <si>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</si>
  <si>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</si>
  <si>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</si>
  <si>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</si>
  <si>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</si>
  <si>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</si>
  <si>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</si>
  <si>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</si>
  <si>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</si>
  <si>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</si>
  <si>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</si>
  <si>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</si>
  <si>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</si>
  <si>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</si>
  <si>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</si>
  <si>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</si>
  <si>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</si>
  <si>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</si>
  <si>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</si>
  <si>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</si>
  <si>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</si>
  <si>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</si>
  <si>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</si>
  <si>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</si>
  <si>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</si>
  <si>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</si>
  <si>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</si>
  <si>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</si>
  <si>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</si>
  <si>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</si>
  <si>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</si>
  <si>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</si>
  <si>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</si>
  <si>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</si>
  <si>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</si>
  <si>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</si>
  <si>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</si>
  <si>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</si>
  <si>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</si>
  <si>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</si>
  <si>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</si>
  <si>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</si>
  <si>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</si>
  <si>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</si>
  <si>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</si>
  <si>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</si>
  <si>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</si>
  <si>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</si>
  <si>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</si>
  <si>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</si>
  <si>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</si>
  <si>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</si>
  <si>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</si>
  <si>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</si>
  <si>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</si>
  <si>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</si>
  <si>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</si>
  <si>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</si>
  <si>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</si>
  <si>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</si>
  <si>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</si>
  <si>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</si>
  <si>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</si>
  <si>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</si>
  <si>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</si>
  <si>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</si>
  <si>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</si>
  <si>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</si>
  <si>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</si>
  <si>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</si>
  <si>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</si>
  <si>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</si>
  <si>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</si>
  <si>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</si>
  <si>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</si>
  <si>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</si>
  <si>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</si>
  <si>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</si>
  <si>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</si>
  <si>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</si>
  <si>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</si>
  <si>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</si>
  <si>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</si>
  <si>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</si>
  <si>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</si>
  <si>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</si>
  <si>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</si>
  <si>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</si>
  <si>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</si>
  <si>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</si>
  <si>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</si>
  <si>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</si>
  <si>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</si>
  <si>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</si>
  <si>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</si>
  <si>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</si>
  <si>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</si>
  <si>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</si>
  <si>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</si>
  <si>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</si>
  <si>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</si>
  <si>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</si>
  <si>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</si>
  <si>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</si>
  <si>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</si>
  <si>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</si>
  <si>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</si>
  <si>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</si>
  <si>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</si>
  <si>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</si>
  <si>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</si>
  <si>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</si>
  <si>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</si>
  <si>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</si>
  <si>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</si>
  <si>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</si>
  <si>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</si>
  <si>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</si>
  <si>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</si>
  <si>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</si>
  <si>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</si>
  <si>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</si>
  <si>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</si>
  <si>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</si>
  <si>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</si>
  <si>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</si>
  <si>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</si>
  <si>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</si>
  <si>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</si>
  <si>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</si>
  <si>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</si>
  <si>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</si>
  <si>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</si>
  <si>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</si>
  <si>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</si>
  <si>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</si>
  <si>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</si>
  <si>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</si>
  <si>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</si>
  <si>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</si>
  <si>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</si>
  <si>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</si>
  <si>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</si>
  <si>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</si>
  <si>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</si>
  <si>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</si>
  <si>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</si>
  <si>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</si>
  <si>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</si>
  <si>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</si>
  <si>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</si>
  <si>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</si>
  <si>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</si>
  <si>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</si>
  <si>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</si>
  <si>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</si>
  <si>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</si>
  <si>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</si>
  <si>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</si>
  <si>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</si>
  <si>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</si>
  <si>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</si>
  <si>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</si>
  <si>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</si>
  <si>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</si>
  <si>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</si>
  <si>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</si>
  <si>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</si>
  <si>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</si>
  <si>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</si>
  <si>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</si>
  <si>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</si>
  <si>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</si>
  <si>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</si>
  <si>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</si>
  <si>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</si>
  <si>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</si>
  <si>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</si>
  <si>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</si>
  <si>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</si>
  <si>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</si>
  <si>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</si>
  <si>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</si>
  <si>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</si>
  <si>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</si>
  <si>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</si>
  <si>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</si>
  <si>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</si>
  <si>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</si>
  <si>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</si>
  <si>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</si>
  <si>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</si>
  <si>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</si>
  <si>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</si>
  <si>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</si>
  <si>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</si>
  <si>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</si>
  <si>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</si>
  <si>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</si>
  <si>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</si>
  <si>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</si>
  <si>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</si>
  <si>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</si>
  <si>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</si>
  <si>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</si>
  <si>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</si>
  <si>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</si>
  <si>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</si>
  <si>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</si>
  <si>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</si>
  <si>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</si>
  <si>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</si>
  <si>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</si>
  <si>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</si>
  <si>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</si>
  <si>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</si>
  <si>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</si>
  <si>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</si>
  <si>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</si>
  <si>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</si>
  <si>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</si>
  <si>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</si>
  <si>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</si>
  <si>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</si>
  <si>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</si>
  <si>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</si>
  <si>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</si>
  <si>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</si>
  <si>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</si>
  <si>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</si>
  <si>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</si>
  <si>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</si>
  <si>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</si>
  <si>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</si>
  <si>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</si>
  <si>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</si>
  <si>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</si>
  <si>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</si>
  <si>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</si>
  <si>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</si>
  <si>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</si>
  <si>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</si>
  <si>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</si>
  <si>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</si>
  <si>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</si>
  <si>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</si>
  <si>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</si>
  <si>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</si>
  <si>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</si>
  <si>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</si>
  <si>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</si>
  <si>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</si>
  <si>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</si>
  <si>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</si>
  <si>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</si>
  <si>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</si>
  <si>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</si>
  <si>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</si>
  <si>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</si>
  <si>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</si>
  <si>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</si>
  <si>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</si>
  <si>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</si>
  <si>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</si>
  <si>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</si>
  <si>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</si>
  <si>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</si>
  <si>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</si>
  <si>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</si>
  <si>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</si>
  <si>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</si>
  <si>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</si>
  <si>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</si>
  <si>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</si>
  <si>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</si>
  <si>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</si>
  <si>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</si>
  <si>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</si>
  <si>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</si>
  <si>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</si>
  <si>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</si>
  <si>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</si>
  <si>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</si>
  <si>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</si>
  <si>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</si>
  <si>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</si>
  <si>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</si>
  <si>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</si>
  <si>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</si>
  <si>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</si>
  <si>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</si>
  <si>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</si>
  <si>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</si>
  <si>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</si>
  <si>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</si>
  <si>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</si>
  <si>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</si>
  <si>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</si>
  <si>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</si>
  <si>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</si>
  <si>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</si>
  <si>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</si>
  <si>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</si>
  <si>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</si>
  <si>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</si>
  <si>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</si>
  <si>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</si>
  <si>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</si>
  <si>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</si>
  <si>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</si>
  <si>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</si>
  <si>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</si>
  <si>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</si>
  <si>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</si>
  <si>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</si>
  <si>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</si>
  <si>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</si>
  <si>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</si>
  <si>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</si>
  <si>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</si>
  <si>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</si>
  <si>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</si>
  <si>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</si>
  <si>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</si>
  <si>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</si>
  <si>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</si>
  <si>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</si>
  <si>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</si>
  <si>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</si>
  <si>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</si>
  <si>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</si>
  <si>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</si>
  <si>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</si>
  <si>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</si>
  <si>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</si>
  <si>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</si>
  <si>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</si>
  <si>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</si>
  <si>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</si>
  <si>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</si>
  <si>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</si>
  <si>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</si>
  <si>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</si>
  <si>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</si>
  <si>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</si>
  <si>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</si>
  <si>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</si>
  <si>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</si>
  <si>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</si>
  <si>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</si>
  <si>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</si>
  <si>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</si>
  <si>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</si>
  <si>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</si>
  <si>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</si>
  <si>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</si>
  <si>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</si>
  <si>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</si>
  <si>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</si>
  <si>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</si>
  <si>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</si>
  <si>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</si>
  <si>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</si>
  <si>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</si>
  <si>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</si>
  <si>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</si>
  <si>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</si>
  <si>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</si>
  <si>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</si>
  <si>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</si>
  <si>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</si>
  <si>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</si>
  <si>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</si>
  <si>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</si>
  <si>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</si>
  <si>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</si>
  <si>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</si>
  <si>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</si>
  <si>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</si>
  <si>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</si>
  <si>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</si>
  <si>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</si>
  <si>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</si>
  <si>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</si>
  <si>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</si>
  <si>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</si>
  <si>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</si>
  <si>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</si>
  <si>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</si>
  <si>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</si>
  <si>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</si>
  <si>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</si>
  <si>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</si>
  <si>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</si>
  <si>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</si>
  <si>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</si>
  <si>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</si>
  <si>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</si>
  <si>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</si>
  <si>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</si>
  <si>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</si>
  <si>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</si>
  <si>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</si>
  <si>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</si>
  <si>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</si>
  <si>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</si>
  <si>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</si>
  <si>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</si>
  <si>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</si>
  <si>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</si>
  <si>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</si>
  <si>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</si>
  <si>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</si>
  <si>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</si>
  <si>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</si>
  <si>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</si>
  <si>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</si>
  <si>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</si>
  <si>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</si>
  <si>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</si>
  <si>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</si>
  <si>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</si>
  <si>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</si>
  <si>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</si>
  <si>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</si>
  <si>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</si>
  <si>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</si>
  <si>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</si>
  <si>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</si>
  <si>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</si>
  <si>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</si>
  <si>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</si>
  <si>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</si>
  <si>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</si>
  <si>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</si>
  <si>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</si>
  <si>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</si>
  <si>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</si>
  <si>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</si>
  <si>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</si>
  <si>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</si>
  <si>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</si>
  <si>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</si>
  <si>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</si>
  <si>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</si>
  <si>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</si>
  <si>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</si>
  <si>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</si>
  <si>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</si>
  <si>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</si>
  <si>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</si>
  <si>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</si>
  <si>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</si>
  <si>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</si>
  <si>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</si>
  <si>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</si>
  <si>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</si>
  <si>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</si>
  <si>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</si>
  <si>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</si>
  <si>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</si>
  <si>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</si>
  <si>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</si>
  <si>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</si>
  <si>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</si>
  <si>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</si>
  <si>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</si>
  <si>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</si>
  <si>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</si>
  <si>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</si>
  <si>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</si>
  <si>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</si>
  <si>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</si>
  <si>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</si>
  <si>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</si>
  <si>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</si>
  <si>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</si>
  <si>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</si>
  <si>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</si>
  <si>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</si>
  <si>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</si>
  <si>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</si>
  <si>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</si>
  <si>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</si>
  <si>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</si>
  <si>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</si>
  <si>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</si>
  <si>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</si>
  <si>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</si>
  <si>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</si>
  <si>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</si>
  <si>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</si>
  <si>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</si>
  <si>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</si>
  <si>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</si>
  <si>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</si>
  <si>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</si>
  <si>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</si>
  <si>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</si>
  <si>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</si>
  <si>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</si>
  <si>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</si>
  <si>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</si>
  <si>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</si>
  <si>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</si>
  <si>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</si>
  <si>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</si>
  <si>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</si>
  <si>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</si>
  <si>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</si>
  <si>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</si>
  <si>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</si>
  <si>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</si>
  <si>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</si>
  <si>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</si>
  <si>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</si>
  <si>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</si>
  <si>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</si>
  <si>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</si>
  <si>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</si>
  <si>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</si>
  <si>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</si>
  <si>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</si>
  <si>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</si>
  <si>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</si>
  <si>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</si>
  <si>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</si>
  <si>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</si>
  <si>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</si>
  <si>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</si>
  <si>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</si>
  <si>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</si>
  <si>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</si>
  <si>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</si>
  <si>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</si>
  <si>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</si>
  <si>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</si>
  <si>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</si>
  <si>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</si>
  <si>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</si>
  <si>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</si>
  <si>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</si>
  <si>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</si>
  <si>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</si>
  <si>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</si>
  <si>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</si>
  <si>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</si>
  <si>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</si>
  <si>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</si>
  <si>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</si>
  <si>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</si>
  <si>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</si>
  <si>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</si>
  <si>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</si>
  <si>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</si>
  <si>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</si>
  <si>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</si>
  <si>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</si>
  <si>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</si>
  <si>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</si>
  <si>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</si>
  <si>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</si>
  <si>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</si>
  <si>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</si>
  <si>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</si>
  <si>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</si>
  <si>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</si>
  <si>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</si>
  <si>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</si>
  <si>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</si>
  <si>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</si>
  <si>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</si>
  <si>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</si>
  <si>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</si>
  <si>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</si>
  <si>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</si>
  <si>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</si>
  <si>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</si>
  <si>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</si>
  <si>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</si>
  <si>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</si>
  <si>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</si>
  <si>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</si>
  <si>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</si>
  <si>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</si>
  <si>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</si>
  <si>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</si>
  <si>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</si>
  <si>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</si>
  <si>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</si>
  <si>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</si>
  <si>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</si>
  <si>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</si>
  <si>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</si>
  <si>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</si>
  <si>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</si>
  <si>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</si>
  <si>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</si>
  <si>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</si>
  <si>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</si>
  <si>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</si>
  <si>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</si>
  <si>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</si>
  <si>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</si>
  <si>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</si>
  <si>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</si>
  <si>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</si>
  <si>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</si>
  <si>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</si>
  <si>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</si>
  <si>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</si>
  <si>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</si>
  <si>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</si>
  <si>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</si>
  <si>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</si>
  <si>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</si>
  <si>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</si>
  <si>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</si>
  <si>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</si>
  <si>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</si>
  <si>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</si>
  <si>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</si>
  <si>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</si>
  <si>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</si>
  <si>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</si>
  <si>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</si>
  <si>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</si>
  <si>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</si>
  <si>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</si>
  <si>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</si>
  <si>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</si>
  <si>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</si>
  <si>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</si>
  <si>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</si>
  <si>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</si>
  <si>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</si>
  <si>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</si>
  <si>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</si>
  <si>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</si>
  <si>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</si>
  <si>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</si>
  <si>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</si>
  <si>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</si>
  <si>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</si>
  <si>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</si>
  <si>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</si>
  <si>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</si>
  <si>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</si>
  <si>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</si>
  <si>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</si>
  <si>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</si>
  <si>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</si>
  <si>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</si>
  <si>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</si>
  <si>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</si>
  <si>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</si>
  <si>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</si>
  <si>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</si>
  <si>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</si>
  <si>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</si>
  <si>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</si>
  <si>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</si>
  <si>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</si>
  <si>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</si>
  <si>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</si>
  <si>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</si>
  <si>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</si>
  <si>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</si>
  <si>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</si>
  <si>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</si>
  <si>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</si>
  <si>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</si>
  <si>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</si>
  <si>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</si>
  <si>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</si>
  <si>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</si>
  <si>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</si>
  <si>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</si>
  <si>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</si>
  <si>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</si>
  <si>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</si>
  <si>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</si>
  <si>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</si>
  <si>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</si>
  <si>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</si>
  <si>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</si>
  <si>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</si>
  <si>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</si>
  <si>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</si>
  <si>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</si>
  <si>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</si>
  <si>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</si>
  <si>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</si>
  <si>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</si>
  <si>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</si>
  <si>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</si>
  <si>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</si>
  <si>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</si>
  <si>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</si>
  <si>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</si>
  <si>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</si>
  <si>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</si>
  <si>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</si>
  <si>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</si>
  <si>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</si>
  <si>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</si>
  <si>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</si>
  <si>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</si>
  <si>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</si>
  <si>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</si>
  <si>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</si>
  <si>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</si>
  <si>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</si>
  <si>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</si>
  <si>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</si>
  <si>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</si>
  <si>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</si>
  <si>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</si>
  <si>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</si>
  <si>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</si>
  <si>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</si>
  <si>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</si>
  <si>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</si>
  <si>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</si>
  <si>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</si>
  <si>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</si>
  <si>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</si>
  <si>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</si>
  <si>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</si>
  <si>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</si>
  <si>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</si>
  <si>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</si>
  <si>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</si>
  <si>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</si>
  <si>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</si>
  <si>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</si>
  <si>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</si>
  <si>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</si>
  <si>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</si>
  <si>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</si>
  <si>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</si>
  <si>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</si>
  <si>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</si>
  <si>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</si>
  <si>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</si>
  <si>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</si>
  <si>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</si>
  <si>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</si>
  <si>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</si>
  <si>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</si>
  <si>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</si>
  <si>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</si>
  <si>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</si>
  <si>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</si>
  <si>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</si>
  <si>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</si>
  <si>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</si>
  <si>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</si>
  <si>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</si>
  <si>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</si>
  <si>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</si>
  <si>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</si>
  <si>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</si>
  <si>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</si>
  <si>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</si>
  <si>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</si>
  <si>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</si>
  <si>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</si>
  <si>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</si>
  <si>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</si>
  <si>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</si>
  <si>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</si>
  <si>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</si>
  <si>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</si>
  <si>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</si>
  <si>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</si>
  <si>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</si>
  <si>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</si>
  <si>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</si>
  <si>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</si>
  <si>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</si>
  <si>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</si>
  <si>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</si>
  <si>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</si>
  <si>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</si>
  <si>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</si>
  <si>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</si>
  <si>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</si>
  <si>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</si>
  <si>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</si>
  <si>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</si>
  <si>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</si>
  <si>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</si>
  <si>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</si>
  <si>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</si>
  <si>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</si>
  <si>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</si>
  <si>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</si>
  <si>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</si>
  <si>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</si>
  <si>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</si>
  <si>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</si>
  <si>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</si>
  <si>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</si>
  <si>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</si>
  <si>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</si>
  <si>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</si>
  <si>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</si>
  <si>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</si>
  <si>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</si>
  <si>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</si>
  <si>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</si>
  <si>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</si>
  <si>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</si>
  <si>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</si>
  <si>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</si>
  <si>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</si>
  <si>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</si>
  <si>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</si>
  <si>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</si>
  <si>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</si>
  <si>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</si>
  <si>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</si>
  <si>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</si>
  <si>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</si>
  <si>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</si>
  <si>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</si>
  <si>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</si>
  <si>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</si>
  <si>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</si>
  <si>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</si>
  <si>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</si>
  <si>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</si>
  <si>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</si>
  <si>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</si>
  <si>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</si>
  <si>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</si>
  <si>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</si>
  <si>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</si>
  <si>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</si>
  <si>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</si>
  <si>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</si>
  <si>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</si>
  <si>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</si>
  <si>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</si>
  <si>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</si>
  <si>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</si>
  <si>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</si>
  <si>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</si>
  <si>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</si>
  <si>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</si>
  <si>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</si>
  <si>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</si>
  <si>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</si>
  <si>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</si>
  <si>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</si>
  <si>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</si>
  <si>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</si>
  <si>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</si>
  <si>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</si>
  <si>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</si>
  <si>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</si>
  <si>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</si>
  <si>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</si>
  <si>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</si>
  <si>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</si>
  <si>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</si>
  <si>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</si>
  <si>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</si>
  <si>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</si>
  <si>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</si>
  <si>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</si>
  <si>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</si>
  <si>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</si>
  <si>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</si>
  <si>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</si>
  <si>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</si>
  <si>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</si>
  <si>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</si>
  <si>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</si>
  <si>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</si>
  <si>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</si>
  <si>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</si>
  <si>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</si>
  <si>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</si>
  <si>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</si>
  <si>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</si>
  <si>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</si>
  <si>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</si>
  <si>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</si>
  <si>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</si>
  <si>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</si>
  <si>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</si>
  <si>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</si>
  <si>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</si>
  <si>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</si>
  <si>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</si>
  <si>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</si>
  <si>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</si>
  <si>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</si>
  <si>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</si>
  <si>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</si>
  <si>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</si>
  <si>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</si>
  <si>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</si>
  <si>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</si>
  <si>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</si>
  <si>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</si>
  <si>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</si>
  <si>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</si>
  <si>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</si>
  <si>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</si>
  <si>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</si>
  <si>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</si>
  <si>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</si>
  <si>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</si>
  <si>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</si>
  <si>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</si>
  <si>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</si>
  <si>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</si>
  <si>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</si>
  <si>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</si>
  <si>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</si>
  <si>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</si>
  <si>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</si>
  <si>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</si>
  <si>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</si>
  <si>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</si>
  <si>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</si>
  <si>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</si>
  <si>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</si>
  <si>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</si>
  <si>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</si>
  <si>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</si>
  <si>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</si>
  <si>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</si>
  <si>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</si>
  <si>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</si>
  <si>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</si>
  <si>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</si>
  <si>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</si>
  <si>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</si>
  <si>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</si>
  <si>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</si>
  <si>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</si>
  <si>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</si>
  <si>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</si>
  <si>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</si>
  <si>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</si>
  <si>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</si>
  <si>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</si>
  <si>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</si>
  <si>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</si>
  <si>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</si>
  <si>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</si>
  <si>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</si>
  <si>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</si>
  <si>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</si>
  <si>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</si>
  <si>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</si>
  <si>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</si>
  <si>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</si>
  <si>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</si>
  <si>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</si>
  <si>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</si>
  <si>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</si>
  <si>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</si>
  <si>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</si>
  <si>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</si>
  <si>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</si>
  <si>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</si>
  <si>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</si>
  <si>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</si>
  <si>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</si>
  <si>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</si>
  <si>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</si>
  <si>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</si>
  <si>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</si>
  <si>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</si>
  <si>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</si>
  <si>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</si>
  <si>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</si>
  <si>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</si>
  <si>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</si>
  <si>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</si>
  <si>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</si>
  <si>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</si>
  <si>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</si>
  <si>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</si>
  <si>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</si>
  <si>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</si>
  <si>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</si>
  <si>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</si>
  <si>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</si>
  <si>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</si>
  <si>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</si>
  <si>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</si>
  <si>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</si>
  <si>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</si>
  <si>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</si>
  <si>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</si>
  <si>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</si>
  <si>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</si>
  <si>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</si>
  <si>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</si>
  <si>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</si>
  <si>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</si>
  <si>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</si>
  <si>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</si>
  <si>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</si>
  <si>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</si>
  <si>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</si>
  <si>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</si>
  <si>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</si>
  <si>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</si>
  <si>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</si>
  <si>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</si>
  <si>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</si>
  <si>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</si>
  <si>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</si>
  <si>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</si>
  <si>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</si>
  <si>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</si>
  <si>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</si>
  <si>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</si>
  <si>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</si>
  <si>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</si>
  <si>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</si>
  <si>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</si>
  <si>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</si>
  <si>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</si>
  <si>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</si>
  <si>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</si>
  <si>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</si>
  <si>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</si>
  <si>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</si>
  <si>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</si>
  <si>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</si>
  <si>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</si>
  <si>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</si>
  <si>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</si>
  <si>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</si>
  <si>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</si>
  <si>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</si>
  <si>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</si>
  <si>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</si>
  <si>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</si>
  <si>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</si>
  <si>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</si>
  <si>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</si>
  <si>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</si>
  <si>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</si>
  <si>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</si>
  <si>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</si>
  <si>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</si>
  <si>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</si>
  <si>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</si>
  <si>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</si>
  <si>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</si>
  <si>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</si>
  <si>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</si>
  <si>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</si>
  <si>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</si>
  <si>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</si>
  <si>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</si>
  <si>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</si>
  <si>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</si>
  <si>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</si>
  <si>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</si>
  <si>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</si>
  <si>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</si>
  <si>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</si>
  <si>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</si>
  <si>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</si>
  <si>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</si>
  <si>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</si>
  <si>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</si>
  <si>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</si>
  <si>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</si>
  <si>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</si>
  <si>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</si>
  <si>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</si>
  <si>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</si>
  <si>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</si>
  <si>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</si>
  <si>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</si>
  <si>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</si>
  <si>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</si>
  <si>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</si>
  <si>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</si>
  <si>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</si>
  <si>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</si>
  <si>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</si>
  <si>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</si>
  <si>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</si>
  <si>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</si>
  <si>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</si>
  <si>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</si>
  <si>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</si>
  <si>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</si>
  <si>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</si>
  <si>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</si>
  <si>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</si>
  <si>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</si>
  <si>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</si>
  <si>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</si>
  <si>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</si>
  <si>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</si>
  <si>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</si>
  <si>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</si>
  <si>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</si>
  <si>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</si>
  <si>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</si>
  <si>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</si>
  <si>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</si>
  <si>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</si>
  <si>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</si>
  <si>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</si>
  <si>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</si>
  <si>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</si>
  <si>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</si>
  <si>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</si>
  <si>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</si>
  <si>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</si>
  <si>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</si>
  <si>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</si>
  <si>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</si>
  <si>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</si>
  <si>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</si>
  <si>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</si>
  <si>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</si>
  <si>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</si>
  <si>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</si>
  <si>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</si>
  <si>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</si>
  <si>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</si>
  <si>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</si>
  <si>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</si>
  <si>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</si>
  <si>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</si>
  <si>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</si>
  <si>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</si>
  <si>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</si>
  <si>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</si>
  <si>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</si>
  <si>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</si>
  <si>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</si>
  <si>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</si>
  <si>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</si>
  <si>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</si>
  <si>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</si>
  <si>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</si>
  <si>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</si>
  <si>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</si>
  <si>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</si>
  <si>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</si>
  <si>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</si>
  <si>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</si>
  <si>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</si>
  <si>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</si>
  <si>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</si>
  <si>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</si>
  <si>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</si>
  <si>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</si>
  <si>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</si>
  <si>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</si>
  <si>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</si>
  <si>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</si>
  <si>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</si>
  <si>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</si>
  <si>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</si>
  <si>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</si>
  <si>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</si>
  <si>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</si>
  <si>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</si>
  <si>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</si>
  <si>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</si>
  <si>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</si>
  <si>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</si>
  <si>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</si>
  <si>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</si>
  <si>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</si>
  <si>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</si>
  <si>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</si>
  <si>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</si>
  <si>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</si>
  <si>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</si>
  <si>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</si>
  <si>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</si>
  <si>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</si>
  <si>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</si>
  <si>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</si>
  <si>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</si>
  <si>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</si>
  <si>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</si>
  <si>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</si>
  <si>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</si>
  <si>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</si>
  <si>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</si>
  <si>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</si>
  <si>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</si>
  <si>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</si>
  <si>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</si>
  <si>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</si>
  <si>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</si>
  <si>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</si>
  <si>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</si>
  <si>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</si>
  <si>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</si>
  <si>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</si>
  <si>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</si>
  <si>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</si>
  <si>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</si>
  <si>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</si>
  <si>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</si>
  <si>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</si>
  <si>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</si>
  <si>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</si>
  <si>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</si>
  <si>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</si>
  <si>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</si>
  <si>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</si>
  <si>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</si>
  <si>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</si>
  <si>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</si>
  <si>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</si>
  <si>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</si>
  <si>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</si>
  <si>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</si>
  <si>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</si>
  <si>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</si>
  <si>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</si>
  <si>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</si>
  <si>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</si>
  <si>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</si>
  <si>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</si>
  <si>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</si>
  <si>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</si>
  <si>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</si>
  <si>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</si>
  <si>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</si>
  <si>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</si>
  <si>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</si>
  <si>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</si>
  <si>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</si>
  <si>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</si>
  <si>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</si>
  <si>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</si>
  <si>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</si>
  <si>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</si>
  <si>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</si>
  <si>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</si>
  <si>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</si>
  <si>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</si>
  <si>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</si>
  <si>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</si>
  <si>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</si>
  <si>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</si>
  <si>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</si>
  <si>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</si>
  <si>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</si>
  <si>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</si>
  <si>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</si>
  <si>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</si>
  <si>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</si>
  <si>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</si>
  <si>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</si>
  <si>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</si>
  <si>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</si>
  <si>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</si>
  <si>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</si>
  <si>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</si>
  <si>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</si>
  <si>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</si>
  <si>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</si>
  <si>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</si>
  <si>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</si>
  <si>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</si>
  <si>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</si>
  <si>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</si>
  <si>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</si>
  <si>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</si>
  <si>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</si>
  <si>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</si>
  <si>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</si>
  <si>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</si>
  <si>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</si>
  <si>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</si>
  <si>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</si>
  <si>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</si>
  <si>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</si>
  <si>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</si>
  <si>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</si>
  <si>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</si>
  <si>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</si>
  <si>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</si>
  <si>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</si>
  <si>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</si>
  <si>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</si>
  <si>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</si>
  <si>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</si>
  <si>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</si>
  <si>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</si>
  <si>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</si>
  <si>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</si>
  <si>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</si>
  <si>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</si>
  <si>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</si>
  <si>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</si>
  <si>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</si>
  <si>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</si>
  <si>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</si>
  <si>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</si>
  <si>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</si>
  <si>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</si>
  <si>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</si>
  <si>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</si>
  <si>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</si>
  <si>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</si>
  <si>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</si>
  <si>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</si>
  <si>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</si>
  <si>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</si>
  <si>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</si>
  <si>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</si>
  <si>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</si>
  <si>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</si>
  <si>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</si>
  <si>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</si>
  <si>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</si>
  <si>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</si>
  <si>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</si>
  <si>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</si>
  <si>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</si>
  <si>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</si>
  <si>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</si>
  <si>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</si>
  <si>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</si>
  <si>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</si>
  <si>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</si>
  <si>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</si>
  <si>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</si>
  <si>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</si>
  <si>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</si>
  <si>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</si>
  <si>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</si>
  <si>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</si>
  <si>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</si>
  <si>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</si>
  <si>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</si>
  <si>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</si>
  <si>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</si>
  <si>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</si>
  <si>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</si>
  <si>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</si>
  <si>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</si>
  <si>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</si>
  <si>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</si>
  <si>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</si>
  <si>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</si>
  <si>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</si>
  <si>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</si>
  <si>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</si>
  <si>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</si>
  <si>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</si>
  <si>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</si>
  <si>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</si>
  <si>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</si>
  <si>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</si>
  <si>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</si>
  <si>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</si>
  <si>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</si>
  <si>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</si>
  <si>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</si>
  <si>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</si>
  <si>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</si>
  <si>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</si>
  <si>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</si>
  <si>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</si>
  <si>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</si>
  <si>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</si>
  <si>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</si>
  <si>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</si>
  <si>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</si>
  <si>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</si>
  <si>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</si>
  <si>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</si>
  <si>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</si>
  <si>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</si>
  <si>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</si>
  <si>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</si>
  <si>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</si>
  <si>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</si>
  <si>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</si>
  <si>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</si>
  <si>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</si>
  <si>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</si>
  <si>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</si>
  <si>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</si>
  <si>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</si>
  <si>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</si>
  <si>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</si>
  <si>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</si>
  <si>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</si>
  <si>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</si>
  <si>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</si>
  <si>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</si>
  <si>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</si>
  <si>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</si>
  <si>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</si>
  <si>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</si>
  <si>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</si>
  <si>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</si>
  <si>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</si>
  <si>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</si>
  <si>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</si>
  <si>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</si>
  <si>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</si>
  <si>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</si>
  <si>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</si>
  <si>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</si>
  <si>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</si>
  <si>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</si>
  <si>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</si>
  <si>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</si>
  <si>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</si>
  <si>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</si>
  <si>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</si>
  <si>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</si>
  <si>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</si>
  <si>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</si>
  <si>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</si>
  <si>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</si>
  <si>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</si>
  <si>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</si>
  <si>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</si>
  <si>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</si>
  <si>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</si>
  <si>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</si>
  <si>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</si>
  <si>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</si>
  <si>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</si>
  <si>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</si>
  <si>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</si>
  <si>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</si>
  <si>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</si>
  <si>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</si>
  <si>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</si>
  <si>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</si>
  <si>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</si>
  <si>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</si>
  <si>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</si>
  <si>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</si>
  <si>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</si>
  <si>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</si>
  <si>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</si>
  <si>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</si>
  <si>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</si>
  <si>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</si>
  <si>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</si>
  <si>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</si>
  <si>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</si>
  <si>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</si>
  <si>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</si>
  <si>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</si>
  <si>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</si>
  <si>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</si>
  <si>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</si>
  <si>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</si>
  <si>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</si>
  <si>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</si>
  <si>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</si>
  <si>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</si>
  <si>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</si>
  <si>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</si>
  <si>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</si>
  <si>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</si>
  <si>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</si>
  <si>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</si>
  <si>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</si>
  <si>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</si>
  <si>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</si>
  <si>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</si>
  <si>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</si>
  <si>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</si>
  <si>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</si>
  <si>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</si>
  <si>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</si>
  <si>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</si>
  <si>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</si>
  <si>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</si>
  <si>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</si>
  <si>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</si>
  <si>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</si>
  <si>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</si>
  <si>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</si>
  <si>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</si>
  <si>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</si>
  <si>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</si>
  <si>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</si>
  <si>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</si>
  <si>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</si>
  <si>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</si>
  <si>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</si>
  <si>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</si>
  <si>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</si>
  <si>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</si>
  <si>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</si>
  <si>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</si>
  <si>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</si>
  <si>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</si>
  <si>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</si>
  <si>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</si>
  <si>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</si>
  <si>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</si>
  <si>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</si>
  <si>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</si>
  <si>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</si>
  <si>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</si>
  <si>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</si>
  <si>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</si>
  <si>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</si>
  <si>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</si>
  <si>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</si>
  <si>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</si>
  <si>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</si>
  <si>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</si>
  <si>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</si>
  <si>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</si>
  <si>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</si>
  <si>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</si>
  <si>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</si>
  <si>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</si>
  <si>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</si>
  <si>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</si>
  <si>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</si>
  <si>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</si>
  <si>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</si>
  <si>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</si>
  <si>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</si>
  <si>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</si>
  <si>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</si>
  <si>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</si>
  <si>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</si>
  <si>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</si>
  <si>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</si>
  <si>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</si>
  <si>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</si>
  <si>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</si>
  <si>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</si>
  <si>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</si>
  <si>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</si>
  <si>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</si>
  <si>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</si>
  <si>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</si>
  <si>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</si>
  <si>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</si>
  <si>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</si>
  <si>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</si>
  <si>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</si>
  <si>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</si>
  <si>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</si>
  <si>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</si>
  <si>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</si>
  <si>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</si>
  <si>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</si>
  <si>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</si>
  <si>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</si>
  <si>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</si>
  <si>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</si>
  <si>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</si>
  <si>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</si>
  <si>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</si>
  <si>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</si>
  <si>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</si>
  <si>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</si>
  <si>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</si>
  <si>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</si>
  <si>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</si>
  <si>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</si>
  <si>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</si>
  <si>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</si>
  <si>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</si>
  <si>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</si>
  <si>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</si>
  <si>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</si>
  <si>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</si>
  <si>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</si>
  <si>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</si>
  <si>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</si>
  <si>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</si>
  <si>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</si>
  <si>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</si>
  <si>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</si>
  <si>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</si>
  <si>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</si>
  <si>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</si>
  <si>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</si>
  <si>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</si>
  <si>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</si>
  <si>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</si>
  <si>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</si>
  <si>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</si>
  <si>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</si>
  <si>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</si>
  <si>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</si>
  <si>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</si>
  <si>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</si>
  <si>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</si>
  <si>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</si>
  <si>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</si>
  <si>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</si>
  <si>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</si>
  <si>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</si>
  <si>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</si>
  <si>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</si>
  <si>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</si>
  <si>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</si>
  <si>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</si>
  <si>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</si>
  <si>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</si>
  <si>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</si>
  <si>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</si>
  <si>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</si>
  <si>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</si>
  <si>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</si>
  <si>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</si>
  <si>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</si>
  <si>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</si>
  <si>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</si>
  <si>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</si>
  <si>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</si>
  <si>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</si>
  <si>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</si>
  <si>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</si>
  <si>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</si>
  <si>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</si>
  <si>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</si>
  <si>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</si>
  <si>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</si>
  <si>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</si>
  <si>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</si>
  <si>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</si>
  <si>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</si>
  <si>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</si>
  <si>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</si>
  <si>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</si>
  <si>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</si>
  <si>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</si>
  <si>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</si>
  <si>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</si>
  <si>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</si>
  <si>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</si>
  <si>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</si>
  <si>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</si>
  <si>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</si>
  <si>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</si>
  <si>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</si>
  <si>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</si>
  <si>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</si>
  <si>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</si>
  <si>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</si>
  <si>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</si>
  <si>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</si>
  <si>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</si>
  <si>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</si>
  <si>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</si>
  <si>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</si>
  <si>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</si>
  <si>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</si>
  <si>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</si>
  <si>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</si>
  <si>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</si>
  <si>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</si>
  <si>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</si>
  <si>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</si>
  <si>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</si>
  <si>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</si>
  <si>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</si>
  <si>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</si>
  <si>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</si>
  <si>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</si>
  <si>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</si>
  <si>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</si>
  <si>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</si>
  <si>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</si>
  <si>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</si>
  <si>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</si>
  <si>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</si>
  <si>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</si>
  <si>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</si>
  <si>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</si>
  <si>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</si>
  <si>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</si>
  <si>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</si>
  <si>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</si>
  <si>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</si>
  <si>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</si>
  <si>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</si>
  <si>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</si>
  <si>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</si>
  <si>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</si>
  <si>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</si>
  <si>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</si>
  <si>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</si>
  <si>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</si>
  <si>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</si>
  <si>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</si>
  <si>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</si>
  <si>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</si>
  <si>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</si>
  <si>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</si>
  <si>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</si>
  <si>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</si>
  <si>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</si>
  <si>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</si>
  <si>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</si>
  <si>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</si>
  <si>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</si>
  <si>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</si>
  <si>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</si>
  <si>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</si>
  <si>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</si>
  <si>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</si>
  <si>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</si>
  <si>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</si>
  <si>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</si>
  <si>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</si>
  <si>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</si>
  <si>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</si>
  <si>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</si>
  <si>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</si>
  <si>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</si>
  <si>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</si>
  <si>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</si>
  <si>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</si>
  <si>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</si>
  <si>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</si>
  <si>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</si>
  <si>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</si>
  <si>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</si>
  <si>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</si>
  <si>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</si>
  <si>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</si>
  <si>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</si>
  <si>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</si>
  <si>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</si>
  <si>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</si>
  <si>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</si>
  <si>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</si>
  <si>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</si>
  <si>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</si>
  <si>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</si>
  <si>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</si>
  <si>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</si>
  <si>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</si>
  <si>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</si>
  <si>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</si>
  <si>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</si>
  <si>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</si>
  <si>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</si>
  <si>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</si>
  <si>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</si>
  <si>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</si>
  <si>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</si>
  <si>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</si>
  <si>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</si>
  <si>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</si>
  <si>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</si>
  <si>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</si>
  <si>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</si>
  <si>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</si>
  <si>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</si>
  <si>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</si>
  <si>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</si>
  <si>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</si>
  <si>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</si>
  <si>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</si>
  <si>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</si>
  <si>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</si>
  <si>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</si>
  <si>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</si>
  <si>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</si>
  <si>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</si>
  <si>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</si>
  <si>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</si>
  <si>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</si>
  <si>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</si>
  <si>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</si>
  <si>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</si>
  <si>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</si>
  <si>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</si>
  <si>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</si>
  <si>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</si>
  <si>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</si>
  <si>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</si>
  <si>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</si>
  <si>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</si>
  <si>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</si>
  <si>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</si>
  <si>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</si>
  <si>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</si>
  <si>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</si>
  <si>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</si>
  <si>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</si>
  <si>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</si>
  <si>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</si>
  <si>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</si>
  <si>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</si>
  <si>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</si>
  <si>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</si>
  <si>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</si>
  <si>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</si>
  <si>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</si>
  <si>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</si>
  <si>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</si>
  <si>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</si>
  <si>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</si>
  <si>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</si>
  <si>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</si>
  <si>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</si>
  <si>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</si>
  <si>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</si>
  <si>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</si>
  <si>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</si>
  <si>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</si>
  <si>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</si>
  <si>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</si>
  <si>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</si>
  <si>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</si>
  <si>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</si>
  <si>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</si>
  <si>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</si>
  <si>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</si>
  <si>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</si>
  <si>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</si>
  <si>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</si>
  <si>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</si>
  <si>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</si>
  <si>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</si>
  <si>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</si>
  <si>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</si>
  <si>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</si>
  <si>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</si>
  <si>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</si>
  <si>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</si>
  <si>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</si>
  <si>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</si>
  <si>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</si>
  <si>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</si>
  <si>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</si>
  <si>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</si>
  <si>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</si>
  <si>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</si>
  <si>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</si>
  <si>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</si>
  <si>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</si>
  <si>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</si>
  <si>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</si>
  <si>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</si>
  <si>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</si>
  <si>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</si>
  <si>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</si>
  <si>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</si>
  <si>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</si>
  <si>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</si>
  <si>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</si>
  <si>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</si>
  <si>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</si>
  <si>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</si>
  <si>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</si>
  <si>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</si>
  <si>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</si>
  <si>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</si>
  <si>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</si>
  <si>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</si>
  <si>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</si>
  <si>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</si>
  <si>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</si>
  <si>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</si>
  <si>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</si>
  <si>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</si>
  <si>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</si>
  <si>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</si>
  <si>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</si>
  <si>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</si>
  <si>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</si>
  <si>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</si>
  <si>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</si>
  <si>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</si>
  <si>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</si>
  <si>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</si>
  <si>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</si>
  <si>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</si>
  <si>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</si>
  <si>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</si>
  <si>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</si>
  <si>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</si>
  <si>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</si>
  <si>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</si>
  <si>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</si>
  <si>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</si>
  <si>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</si>
  <si>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</si>
  <si>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</si>
  <si>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</si>
  <si>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</si>
  <si>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</si>
  <si>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</si>
  <si>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</si>
  <si>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</si>
  <si>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</si>
  <si>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</si>
  <si>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</si>
  <si>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</si>
  <si>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</si>
  <si>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</si>
  <si>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</si>
  <si>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</si>
  <si>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</si>
  <si>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</si>
  <si>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</si>
  <si>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</si>
  <si>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</si>
  <si>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</si>
  <si>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</si>
  <si>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</si>
  <si>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</si>
  <si>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</si>
  <si>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</si>
  <si>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</si>
  <si>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</si>
  <si>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</si>
  <si>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</si>
  <si>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</si>
  <si>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</si>
  <si>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</si>
  <si>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</si>
  <si>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</si>
  <si>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</si>
  <si>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</si>
  <si>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</si>
  <si>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</si>
  <si>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</si>
  <si>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</si>
  <si>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</si>
  <si>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</si>
  <si>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</si>
  <si>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</si>
  <si>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</si>
  <si>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</si>
  <si>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</si>
  <si>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</si>
  <si>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</si>
  <si>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</si>
  <si>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</si>
  <si>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</si>
  <si>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</si>
  <si>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</si>
  <si>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</si>
  <si>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</si>
  <si>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</si>
  <si>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</si>
  <si>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</si>
  <si>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</si>
  <si>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</si>
  <si>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</si>
  <si>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</si>
  <si>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</si>
  <si>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</si>
  <si>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</si>
  <si>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</si>
  <si>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</si>
  <si>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</si>
  <si>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</si>
  <si>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</si>
  <si>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</si>
  <si>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</si>
  <si>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</si>
  <si>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</si>
  <si>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</si>
  <si>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</si>
  <si>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</si>
  <si>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</si>
  <si>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</si>
  <si>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</si>
  <si>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</si>
  <si>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</si>
  <si>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</si>
  <si>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</si>
  <si>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</si>
  <si>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</si>
  <si>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</si>
  <si>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</si>
  <si>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</si>
  <si>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</si>
  <si>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</si>
  <si>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</si>
  <si>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</si>
  <si>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</si>
  <si>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</si>
  <si>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</si>
  <si>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</si>
  <si>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</si>
  <si>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</si>
  <si>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</si>
  <si>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</si>
  <si>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</si>
  <si>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</si>
  <si>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</si>
  <si>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</si>
  <si>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</si>
  <si>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</si>
  <si>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</si>
  <si>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</si>
  <si>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</si>
  <si>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</si>
  <si>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</si>
  <si>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</si>
  <si>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</si>
  <si>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</si>
  <si>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</si>
  <si>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</si>
  <si>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</si>
  <si>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</si>
  <si>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</si>
  <si>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</si>
  <si>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</si>
  <si>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</si>
  <si>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</si>
  <si>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</si>
  <si>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</si>
  <si>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</si>
  <si>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</si>
  <si>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</si>
  <si>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</si>
  <si>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</si>
  <si>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</si>
  <si>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</si>
  <si>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</si>
  <si>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</si>
  <si>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</si>
  <si>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</si>
  <si>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</si>
  <si>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</si>
  <si>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</si>
  <si>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</si>
  <si>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</si>
  <si>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</si>
  <si>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</si>
  <si>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</si>
  <si>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</si>
  <si>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</si>
  <si>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</si>
  <si>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</si>
  <si>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</si>
  <si>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</si>
  <si>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</si>
  <si>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</si>
  <si>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</si>
  <si>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</si>
  <si>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</si>
  <si>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</si>
  <si>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</si>
  <si>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</si>
  <si>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</si>
  <si>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</si>
  <si>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</si>
  <si>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</si>
  <si>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</si>
  <si>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</si>
  <si>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</si>
  <si>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</si>
  <si>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</si>
  <si>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</si>
  <si>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</si>
  <si>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</si>
  <si>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</si>
  <si>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</si>
  <si>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</si>
  <si>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</si>
  <si>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</si>
  <si>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</si>
  <si>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</si>
  <si>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</si>
  <si>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</si>
  <si>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</si>
  <si>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</si>
  <si>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</si>
  <si>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</si>
  <si>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</si>
  <si>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</si>
  <si>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</si>
  <si>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</si>
  <si>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</si>
  <si>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</si>
  <si>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</si>
  <si>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</si>
  <si>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</si>
  <si>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</si>
  <si>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</si>
  <si>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</si>
  <si>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</si>
  <si>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</si>
  <si>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</si>
  <si>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</si>
  <si>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</si>
  <si>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</si>
  <si>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</si>
  <si>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</si>
  <si>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</si>
  <si>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</si>
  <si>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</si>
  <si>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</si>
  <si>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</si>
  <si>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</si>
  <si>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</si>
  <si>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</si>
  <si>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</si>
  <si>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</si>
  <si>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</si>
  <si>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</si>
  <si>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</si>
  <si>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</si>
  <si>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</si>
  <si>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</si>
  <si>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</si>
  <si>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</si>
  <si>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</si>
  <si>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</si>
  <si>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</si>
  <si>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</si>
  <si>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</si>
  <si>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</si>
  <si>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</si>
  <si>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</si>
  <si>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</si>
  <si>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</si>
  <si>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</si>
  <si>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</si>
  <si>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</si>
  <si>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</si>
  <si>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</si>
  <si>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</si>
  <si>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</si>
  <si>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</si>
  <si>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</si>
  <si>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</si>
  <si>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</si>
  <si>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</si>
  <si>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</si>
  <si>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</si>
  <si>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</si>
  <si>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</si>
  <si>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</si>
  <si>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</si>
  <si>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</si>
  <si>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</si>
  <si>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</si>
  <si>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</si>
  <si>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</si>
  <si>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</si>
  <si>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</si>
  <si>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</si>
  <si>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</si>
  <si>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</si>
  <si>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</si>
  <si>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</si>
  <si>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</si>
  <si>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</si>
  <si>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</si>
  <si>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</si>
  <si>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</si>
  <si>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</si>
  <si>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</si>
  <si>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</si>
  <si>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</si>
  <si>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</si>
  <si>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</si>
  <si>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</si>
  <si>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</si>
  <si>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</si>
  <si>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</si>
  <si>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</si>
  <si>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</si>
  <si>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</si>
  <si>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</si>
  <si>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</si>
  <si>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</si>
  <si>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</si>
  <si>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</si>
  <si>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</si>
  <si>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</si>
  <si>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</si>
  <si>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</si>
  <si>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</si>
  <si>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</si>
  <si>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</si>
  <si>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</si>
  <si>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</si>
  <si>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</si>
  <si>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</si>
  <si>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</si>
  <si>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</si>
  <si>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</si>
  <si>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</si>
  <si>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</si>
  <si>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</si>
  <si>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</si>
  <si>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</si>
  <si>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</si>
  <si>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</si>
  <si>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</si>
  <si>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</si>
  <si>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</si>
  <si>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</si>
  <si>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</si>
  <si>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</si>
  <si>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</si>
  <si>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</si>
  <si>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</si>
  <si>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</si>
  <si>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</si>
  <si>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</si>
  <si>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</si>
  <si>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</si>
  <si>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</si>
  <si>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</si>
  <si>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</si>
  <si>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</si>
  <si>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</si>
  <si>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</si>
  <si>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</si>
  <si>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</si>
  <si>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</si>
  <si>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</si>
  <si>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</si>
  <si>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</si>
  <si>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</si>
  <si>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</si>
  <si>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</si>
  <si>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</si>
  <si>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</si>
  <si>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</si>
  <si>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</si>
  <si>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</si>
  <si>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</si>
  <si>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</si>
  <si>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</si>
  <si>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</si>
  <si>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</si>
  <si>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</si>
  <si>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</si>
  <si>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</si>
  <si>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</si>
  <si>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</si>
  <si>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</si>
  <si>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</si>
  <si>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</si>
  <si>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</si>
  <si>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</si>
  <si>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</si>
  <si>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</si>
  <si>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</si>
  <si>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</si>
  <si>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</si>
  <si>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</si>
  <si>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</si>
  <si>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</si>
  <si>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</si>
  <si>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</si>
  <si>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</si>
  <si>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</si>
  <si>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</si>
  <si>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</si>
  <si>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</si>
  <si>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</si>
  <si>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</si>
  <si>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</si>
  <si>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</si>
  <si>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</si>
  <si>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</si>
  <si>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</si>
  <si>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</si>
  <si>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</si>
  <si>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</si>
  <si>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</si>
  <si>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</si>
  <si>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</si>
  <si>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</si>
  <si>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</si>
  <si>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</si>
  <si>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</si>
  <si>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</si>
  <si>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</si>
  <si>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</si>
  <si>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</si>
  <si>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</si>
  <si>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</si>
  <si>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</si>
  <si>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</si>
  <si>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</si>
  <si>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</si>
  <si>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</si>
  <si>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</si>
  <si>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</si>
  <si>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</si>
  <si>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</si>
  <si>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</si>
  <si>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</si>
  <si>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</si>
  <si>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</si>
  <si>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</si>
  <si>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</si>
  <si>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</si>
  <si>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</si>
  <si>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</si>
  <si>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</si>
  <si>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</si>
  <si>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</si>
  <si>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</si>
  <si>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</si>
  <si>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</si>
  <si>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</si>
  <si>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</si>
  <si>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</si>
  <si>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</si>
  <si>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</si>
  <si>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</si>
  <si>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</si>
  <si>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</si>
  <si>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</si>
  <si>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</si>
  <si>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</si>
  <si>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</si>
  <si>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</si>
  <si>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</si>
  <si>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</si>
  <si>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</si>
  <si>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</si>
  <si>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</si>
  <si>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</si>
  <si>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</si>
  <si>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</si>
  <si>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</si>
  <si>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</si>
  <si>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</si>
  <si>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</si>
  <si>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</si>
  <si>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</si>
  <si>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</si>
  <si>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</si>
  <si>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</si>
  <si>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</si>
  <si>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</si>
  <si>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</si>
  <si>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</si>
  <si>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</si>
  <si>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</si>
  <si>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</si>
  <si>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</si>
  <si>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</si>
  <si>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</si>
  <si>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</si>
  <si>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</si>
  <si>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</si>
  <si>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</si>
  <si>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</si>
  <si>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</si>
  <si>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</si>
  <si>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</si>
  <si>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</si>
  <si>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</si>
  <si>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</si>
  <si>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</si>
  <si>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</si>
  <si>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</si>
  <si>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</si>
  <si>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</si>
  <si>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</si>
  <si>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</si>
  <si>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</si>
  <si>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</si>
  <si>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</si>
  <si>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</si>
  <si>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</si>
  <si>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</si>
  <si>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</si>
  <si>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</si>
  <si>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</si>
  <si>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</si>
  <si>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</si>
  <si>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</si>
  <si>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</si>
  <si>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</si>
  <si>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</si>
  <si>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</si>
  <si>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</si>
  <si>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</si>
  <si>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</si>
  <si>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</si>
  <si>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</si>
  <si>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</si>
  <si>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</si>
  <si>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</si>
  <si>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</si>
  <si>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</si>
  <si>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</si>
  <si>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</si>
  <si>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</si>
  <si>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</si>
  <si>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</si>
  <si>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</si>
  <si>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</si>
  <si>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</si>
  <si>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</si>
  <si>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</si>
  <si>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</si>
  <si>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</si>
  <si>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</si>
  <si>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</si>
  <si>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</si>
  <si>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</si>
  <si>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</si>
  <si>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</si>
  <si>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</si>
  <si>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</si>
  <si>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</si>
  <si>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</si>
  <si>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</si>
  <si>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</si>
  <si>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</si>
  <si>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</si>
  <si>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</si>
  <si>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</si>
  <si>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</si>
  <si>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</si>
  <si>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</si>
  <si>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</si>
  <si>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</si>
  <si>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</si>
  <si>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</si>
  <si>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</si>
  <si>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</si>
  <si>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</si>
  <si>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</si>
  <si>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</si>
  <si>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</si>
  <si>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</si>
  <si>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</si>
  <si>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</si>
  <si>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</si>
  <si>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</si>
  <si>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</si>
  <si>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</si>
  <si>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</si>
  <si>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</si>
  <si>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</si>
  <si>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</si>
  <si>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</si>
  <si>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</si>
  <si>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</si>
  <si>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</si>
  <si>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</si>
  <si>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</si>
  <si>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</si>
  <si>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</si>
  <si>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</si>
  <si>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</si>
  <si>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</si>
  <si>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</si>
  <si>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</si>
  <si>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</si>
  <si>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</si>
  <si>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</si>
  <si>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</si>
  <si>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</si>
  <si>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</si>
  <si>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</si>
  <si>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</si>
  <si>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</si>
  <si>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</si>
  <si>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</si>
  <si>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</si>
  <si>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</si>
  <si>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</si>
  <si>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</si>
  <si>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</si>
  <si>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</si>
  <si>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</si>
  <si>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</si>
  <si>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</si>
  <si>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</si>
  <si>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</si>
  <si>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</si>
  <si>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</si>
  <si>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</si>
  <si>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</si>
  <si>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</si>
  <si>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</si>
  <si>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</si>
  <si>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</si>
  <si>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</si>
  <si>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</si>
  <si>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</si>
  <si>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</si>
  <si>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</si>
  <si>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</si>
  <si>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</si>
  <si>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</si>
  <si>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</si>
  <si>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</si>
  <si>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</si>
  <si>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</si>
  <si>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</si>
  <si>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</si>
  <si>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</si>
  <si>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</si>
  <si>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</si>
  <si>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</si>
  <si>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</si>
  <si>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</si>
  <si>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</si>
  <si>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</si>
  <si>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</si>
  <si>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</si>
  <si>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</si>
  <si>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</si>
  <si>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</si>
  <si>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</si>
  <si>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</si>
  <si>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</si>
  <si>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</si>
  <si>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</si>
  <si>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</si>
  <si>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</si>
  <si>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</si>
  <si>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</si>
  <si>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</si>
  <si>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</si>
  <si>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</si>
  <si>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</si>
  <si>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</si>
  <si>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</si>
  <si>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</si>
  <si>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</si>
  <si>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</si>
  <si>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</si>
  <si>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</si>
  <si>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</si>
  <si>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</si>
  <si>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</si>
  <si>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</si>
  <si>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</si>
  <si>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</si>
  <si>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</si>
  <si>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</si>
  <si>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</si>
  <si>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</si>
  <si>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</si>
  <si>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</si>
  <si>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</si>
  <si>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</si>
  <si>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</si>
  <si>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</si>
  <si>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</si>
  <si>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</si>
  <si>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</si>
  <si>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</si>
  <si>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</si>
  <si>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</si>
  <si>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</si>
  <si>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</si>
  <si>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</si>
  <si>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</si>
  <si>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</si>
  <si>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</si>
  <si>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</si>
  <si>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</si>
  <si>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</si>
  <si>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</si>
  <si>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</si>
  <si>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</si>
  <si>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</si>
  <si>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</si>
  <si>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</si>
  <si>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</si>
  <si>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</si>
  <si>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</si>
  <si>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</si>
  <si>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</si>
  <si>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</si>
  <si>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</si>
  <si>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</si>
  <si>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</si>
  <si>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</si>
  <si>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</si>
  <si>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</si>
  <si>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</si>
  <si>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</si>
  <si>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</si>
  <si>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</si>
  <si>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</si>
  <si>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</si>
  <si>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</si>
  <si>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</si>
  <si>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</si>
  <si>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</si>
  <si>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</si>
  <si>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</si>
  <si>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</si>
  <si>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</si>
  <si>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</si>
  <si>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</si>
  <si>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</si>
  <si>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</si>
  <si>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</si>
  <si>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</si>
  <si>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</si>
  <si>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</si>
  <si>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</si>
  <si>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</si>
  <si>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</si>
  <si>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</si>
  <si>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</si>
  <si>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</si>
  <si>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</si>
  <si>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</si>
  <si>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</si>
  <si>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</si>
  <si>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</si>
  <si>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</si>
  <si>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</si>
  <si>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</si>
  <si>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</si>
  <si>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</si>
  <si>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</si>
  <si>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</si>
  <si>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</si>
  <si>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</si>
  <si>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</si>
  <si>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</si>
  <si>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</si>
  <si>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</si>
  <si>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</si>
  <si>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</si>
  <si>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</si>
  <si>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</si>
  <si>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</si>
  <si>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</si>
  <si>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</si>
  <si>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</si>
  <si>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</si>
  <si>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</si>
  <si>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</si>
  <si>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</si>
  <si>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</si>
  <si>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</si>
  <si>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</si>
  <si>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</si>
  <si>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</si>
  <si>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</si>
  <si>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</si>
  <si>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</si>
  <si>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</si>
  <si>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</si>
  <si>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</si>
  <si>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</si>
  <si>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</si>
  <si>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</si>
  <si>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</si>
  <si>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</si>
  <si>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</si>
  <si>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</si>
  <si>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</si>
  <si>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</si>
  <si>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</si>
  <si>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</si>
  <si>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</si>
  <si>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</si>
  <si>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</si>
  <si>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</si>
  <si>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</si>
  <si>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</si>
  <si>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</si>
  <si>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</si>
  <si>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</si>
  <si>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</si>
  <si>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</si>
  <si>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</si>
  <si>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</si>
  <si>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</si>
  <si>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</si>
  <si>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</si>
  <si>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</si>
  <si>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</si>
  <si>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</si>
  <si>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</si>
  <si>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</si>
  <si>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</si>
  <si>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</si>
  <si>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</si>
  <si>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</si>
  <si>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</si>
  <si>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</si>
  <si>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</si>
  <si>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</si>
  <si>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</si>
  <si>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</si>
  <si>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</si>
  <si>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</si>
  <si>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</si>
  <si>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</si>
  <si>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</si>
  <si>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</si>
  <si>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</si>
  <si>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</si>
  <si>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</si>
  <si>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</si>
  <si>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</si>
  <si>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</si>
  <si>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</si>
  <si>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</si>
  <si>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</si>
  <si>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</si>
  <si>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</si>
  <si>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</si>
  <si>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</si>
  <si>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</si>
  <si>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</si>
  <si>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</si>
  <si>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</si>
  <si>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</si>
  <si>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</si>
  <si>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</si>
  <si>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</si>
  <si>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</si>
  <si>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</si>
  <si>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</si>
  <si>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</si>
  <si>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</si>
  <si>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</si>
  <si>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</si>
  <si>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</si>
  <si>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</si>
  <si>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</si>
  <si>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</si>
  <si>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</si>
  <si>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</si>
  <si>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</si>
  <si>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</si>
  <si>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</si>
  <si>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</si>
  <si>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</si>
  <si>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</si>
  <si>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</si>
  <si>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</si>
  <si>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</si>
  <si>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</si>
  <si>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</si>
  <si>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</si>
  <si>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</si>
  <si>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</si>
  <si>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</si>
  <si>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</si>
  <si>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</si>
  <si>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</si>
  <si>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</si>
  <si>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</si>
  <si>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</si>
  <si>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</si>
  <si>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</si>
  <si>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</si>
  <si>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</si>
  <si>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</si>
  <si>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</si>
  <si>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</si>
  <si>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</si>
  <si>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</si>
  <si>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</si>
  <si>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</si>
  <si>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</si>
  <si>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</si>
  <si>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</si>
  <si>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</si>
  <si>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</si>
  <si>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</si>
  <si>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</si>
  <si>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</si>
  <si>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</si>
  <si>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</si>
  <si>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</si>
  <si>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</si>
  <si>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</si>
  <si>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</si>
  <si>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</si>
  <si>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</si>
  <si>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</si>
  <si>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</si>
  <si>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</si>
  <si>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</si>
  <si>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</si>
  <si>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</si>
  <si>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</si>
  <si>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</si>
  <si>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</si>
  <si>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</si>
  <si>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</si>
  <si>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</si>
  <si>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</si>
  <si>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</si>
  <si>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</si>
  <si>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</si>
  <si>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</si>
  <si>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</si>
  <si>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</si>
  <si>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</si>
  <si>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</si>
  <si>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</si>
  <si>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</si>
  <si>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</si>
  <si>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</si>
  <si>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</si>
  <si>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</si>
  <si>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</si>
  <si>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</si>
  <si>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</si>
  <si>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</si>
  <si>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</si>
  <si>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</si>
  <si>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</si>
  <si>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</si>
  <si>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</si>
  <si>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</si>
  <si>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</si>
  <si>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</si>
  <si>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</si>
  <si>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</si>
  <si>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</si>
  <si>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</si>
  <si>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</si>
  <si>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</si>
  <si>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</si>
  <si>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</si>
  <si>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</si>
  <si>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</si>
  <si>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</si>
  <si>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</si>
  <si>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</si>
  <si>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</si>
  <si>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</si>
  <si>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</si>
  <si>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</si>
  <si>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</si>
  <si>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</si>
  <si>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</si>
  <si>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</si>
  <si>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</si>
  <si>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</si>
  <si>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</si>
  <si>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</si>
  <si>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</si>
  <si>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</si>
  <si>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</si>
  <si>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</si>
  <si>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</si>
  <si>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</si>
  <si>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</si>
  <si>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</si>
  <si>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</si>
  <si>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</si>
  <si>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</si>
  <si>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</si>
  <si>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</si>
  <si>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</si>
  <si>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</si>
  <si>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</si>
  <si>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</si>
  <si>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</si>
  <si>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</si>
  <si>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</si>
  <si>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</si>
  <si>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</si>
  <si>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</si>
  <si>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</si>
  <si>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</si>
  <si>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</si>
  <si>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</si>
  <si>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</si>
  <si>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</si>
  <si>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</si>
  <si>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</si>
  <si>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</si>
  <si>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</si>
  <si>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</si>
  <si>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</si>
  <si>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</si>
  <si>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</si>
  <si>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</si>
  <si>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</si>
  <si>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</si>
  <si>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</si>
  <si>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</si>
  <si>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</si>
  <si>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</si>
  <si>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</si>
  <si>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</si>
  <si>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</si>
  <si>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</si>
  <si>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</si>
  <si>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</si>
  <si>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</si>
  <si>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</si>
  <si>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</si>
  <si>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</si>
  <si>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</si>
  <si>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</si>
  <si>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</si>
  <si>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</si>
  <si>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</si>
  <si>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</si>
  <si>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</si>
  <si>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</si>
  <si>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</si>
  <si>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</si>
  <si>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</si>
  <si>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</si>
  <si>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</si>
  <si>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</si>
  <si>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</si>
  <si>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</si>
  <si>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</si>
  <si>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</si>
  <si>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</si>
  <si>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</si>
  <si>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</si>
  <si>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</si>
  <si>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</si>
  <si>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</si>
  <si>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</si>
  <si>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</si>
  <si>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</si>
  <si>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</si>
  <si>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</si>
  <si>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</si>
  <si>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</si>
  <si>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</si>
  <si>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</si>
  <si>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</si>
  <si>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</si>
  <si>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</si>
  <si>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</si>
  <si>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</si>
  <si>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</si>
  <si>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</si>
  <si>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</si>
  <si>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</si>
  <si>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</si>
  <si>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</si>
  <si>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</si>
  <si>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</si>
  <si>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</si>
  <si>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</si>
  <si>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</si>
  <si>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</si>
  <si>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</si>
  <si>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</si>
  <si>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</si>
  <si>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</si>
  <si>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</si>
  <si>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</si>
  <si>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</si>
  <si>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</si>
  <si>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</si>
  <si>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</si>
  <si>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</si>
  <si>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</si>
  <si>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</si>
  <si>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</si>
  <si>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</si>
  <si>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</si>
  <si>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</si>
  <si>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</si>
  <si>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</si>
  <si>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</si>
  <si>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</si>
  <si>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</si>
  <si>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</si>
  <si>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</si>
  <si>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</si>
  <si>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</si>
  <si>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</si>
  <si>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</si>
  <si>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</si>
  <si>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</si>
  <si>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</si>
  <si>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</si>
  <si>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</si>
  <si>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</si>
  <si>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</si>
  <si>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</si>
  <si>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</si>
  <si>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</si>
  <si>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</si>
  <si>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</si>
  <si>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</si>
  <si>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</si>
  <si>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</si>
  <si>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</si>
  <si>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</si>
  <si>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</si>
  <si>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</si>
  <si>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</si>
  <si>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</si>
  <si>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</si>
  <si>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</si>
  <si>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</si>
  <si>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</si>
  <si>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</si>
  <si>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</si>
  <si>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</si>
  <si>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</si>
  <si>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</si>
  <si>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</si>
  <si>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</si>
  <si>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</si>
  <si>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</si>
  <si>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</si>
  <si>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</si>
  <si>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</si>
  <si>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</si>
  <si>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</si>
  <si>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</si>
  <si>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</si>
  <si>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</si>
  <si>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</si>
  <si>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</si>
  <si>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</si>
  <si>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</si>
  <si>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</si>
  <si>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</si>
  <si>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</si>
  <si>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</si>
  <si>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</si>
  <si>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</si>
  <si>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</si>
  <si>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</si>
  <si>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</si>
  <si>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</si>
  <si>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</si>
  <si>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</si>
  <si>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</si>
  <si>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</si>
  <si>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</si>
  <si>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</si>
  <si>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</si>
  <si>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</si>
  <si>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</si>
  <si>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</si>
  <si>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</si>
  <si>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</si>
  <si>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</si>
  <si>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</si>
  <si>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</si>
  <si>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</si>
  <si>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</si>
  <si>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</si>
  <si>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</si>
  <si>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</si>
  <si>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</si>
  <si>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</si>
  <si>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</si>
  <si>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</si>
  <si>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</si>
  <si>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</si>
  <si>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</si>
  <si>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</si>
  <si>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</si>
  <si>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</si>
  <si>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</si>
  <si>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</si>
  <si>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</si>
  <si>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</si>
  <si>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</si>
  <si>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</si>
  <si>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</si>
  <si>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</si>
  <si>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</si>
  <si>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</si>
  <si>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</si>
  <si>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</si>
  <si>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</si>
  <si>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</si>
  <si>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</si>
  <si>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</si>
  <si>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</si>
  <si>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</si>
  <si>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</si>
  <si>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</si>
  <si>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</si>
  <si>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</si>
  <si>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</si>
  <si>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</si>
  <si>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</si>
  <si>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</si>
  <si>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</si>
  <si>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</si>
  <si>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</si>
  <si>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</si>
  <si>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</si>
  <si>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</si>
  <si>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</si>
  <si>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</si>
  <si>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</si>
  <si>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</si>
  <si>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</si>
  <si>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</si>
  <si>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</si>
  <si>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</si>
  <si>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</si>
  <si>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</si>
  <si>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</si>
  <si>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</si>
  <si>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</si>
  <si>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</si>
  <si>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</si>
  <si>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</si>
  <si>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</si>
  <si>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</si>
  <si>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</si>
  <si>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</si>
  <si>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</si>
  <si>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</si>
  <si>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</si>
  <si>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</si>
  <si>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</si>
  <si>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</si>
  <si>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</si>
  <si>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</si>
  <si>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</si>
  <si>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</si>
  <si>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</si>
  <si>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</si>
  <si>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</si>
  <si>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</si>
  <si>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</si>
  <si>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</si>
  <si>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</si>
  <si>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</si>
  <si>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</si>
  <si>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</si>
  <si>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</si>
  <si>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</si>
  <si>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</si>
  <si>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</si>
  <si>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</si>
  <si>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</si>
  <si>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</si>
  <si>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</si>
  <si>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</si>
  <si>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</si>
  <si>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</si>
  <si>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</si>
  <si>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</si>
  <si>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</si>
  <si>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</si>
  <si>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</si>
  <si>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</si>
  <si>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</si>
  <si>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</si>
  <si>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</si>
  <si>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</si>
  <si>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</si>
  <si>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</si>
  <si>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</si>
  <si>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</si>
  <si>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</si>
  <si>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</si>
  <si>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</si>
  <si>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</si>
  <si>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</si>
  <si>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</si>
  <si>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</si>
  <si>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</si>
  <si>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</si>
  <si>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</si>
  <si>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</si>
  <si>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</si>
  <si>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</si>
  <si>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Positronic Industries</t>
  </si>
  <si>
    <t>423 N. Campbell, Springfield, Missouri  65806 USA</t>
  </si>
  <si>
    <t>Kay Gentry</t>
  </si>
  <si>
    <t>kaygentry@connectpositronic.com</t>
  </si>
  <si>
    <t>417-866-2322</t>
  </si>
  <si>
    <t>Manager, Product Compliance</t>
  </si>
  <si>
    <t>Malaysia Smelting Corp (Rwanda, DRC) and Thaisarco (Rwanda, DRC, Uganda, Burundi, Nigeria) this tim comes from CFSP compliant sources</t>
  </si>
  <si>
    <t>See comments in #3</t>
  </si>
  <si>
    <t>www.connectpositronic.com/environmentalinitiatives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</si>
</sst>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3248026</xdr:colOff>
      <xdr:row>1</xdr:row>
      <xdr:rowOff>44450</xdr:rowOff>
    </xdr:from>
    <xdr:to>
      <xdr:col>6</xdr:col>
      <xdr:colOff>1</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8801101" y="215900"/>
          <a:ext cx="819150" cy="85915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9601201</xdr:colOff>
      <xdr:row>0</xdr:row>
      <xdr:rowOff>0</xdr:rowOff>
    </xdr:from>
    <xdr:to>
      <xdr:col>1</xdr:col>
      <xdr:colOff>1</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601201" y="0"/>
          <a:ext cx="12954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kaygentry@connectpositronic.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connectpositronic.com/environmentalinitiatives" TargetMode="External"/><Relationship Id="rId4" Type="http://schemas.openxmlformats.org/officeDocument/2006/relationships/hyperlink" Target="mailto:kaygentry@connectpositronic.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I6" sqref="I6"/>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57"/>
      <c r="B2" s="38" t="s">
        <v>870</v>
      </c>
      <c r="C2" s="36"/>
      <c r="D2" s="208"/>
      <c r="E2" s="3"/>
      <c r="F2" s="36"/>
      <c r="G2" s="34"/>
    </row>
    <row r="3" spans="1:7">
      <c r="A3" s="357"/>
      <c r="B3" s="5" t="s">
        <v>862</v>
      </c>
      <c r="C3" s="6"/>
      <c r="D3" s="209"/>
      <c r="E3" s="3"/>
      <c r="F3" s="6"/>
      <c r="G3" s="34"/>
    </row>
    <row r="4" spans="1:7" ht="15.75">
      <c r="A4" s="357"/>
      <c r="B4" s="41" t="s">
        <v>872</v>
      </c>
      <c r="C4" s="7"/>
      <c r="D4" s="210"/>
      <c r="E4" s="3"/>
      <c r="F4" s="7"/>
      <c r="G4" s="34"/>
    </row>
    <row r="5" spans="1:7">
      <c r="A5" s="357"/>
      <c r="B5" s="40" t="s">
        <v>1063</v>
      </c>
      <c r="C5" s="4"/>
      <c r="D5" s="211"/>
      <c r="E5" s="3"/>
      <c r="F5" s="4"/>
      <c r="G5" s="34"/>
    </row>
    <row r="6" spans="1:7">
      <c r="A6" s="357"/>
      <c r="B6" s="8"/>
      <c r="C6" s="8"/>
      <c r="D6" s="212"/>
      <c r="E6" s="8"/>
      <c r="F6" s="8"/>
      <c r="G6" s="34"/>
    </row>
    <row r="7" spans="1:7">
      <c r="A7" s="357"/>
      <c r="B7" s="8"/>
      <c r="C7" s="8"/>
      <c r="D7" s="212"/>
      <c r="E7" s="8"/>
      <c r="F7" s="8"/>
      <c r="G7" s="34"/>
    </row>
    <row r="8" spans="1:7">
      <c r="A8" s="357"/>
      <c r="B8" s="8"/>
      <c r="C8" s="8"/>
      <c r="D8" s="212"/>
      <c r="E8" s="8"/>
      <c r="F8" s="8"/>
      <c r="G8" s="34"/>
    </row>
    <row r="9" spans="1:7">
      <c r="A9" s="357"/>
      <c r="B9" s="360" t="s">
        <v>873</v>
      </c>
      <c r="C9" s="360"/>
      <c r="D9" s="360"/>
      <c r="E9" s="360"/>
      <c r="F9" s="360"/>
      <c r="G9" s="34"/>
    </row>
    <row r="10" spans="1:7" ht="27" customHeight="1">
      <c r="A10" s="357"/>
      <c r="B10" s="361" t="s">
        <v>448</v>
      </c>
      <c r="C10" s="361"/>
      <c r="D10" s="361"/>
      <c r="E10" s="361"/>
      <c r="F10" s="361"/>
      <c r="G10" s="34"/>
    </row>
    <row r="11" spans="1:7" ht="27" customHeight="1">
      <c r="A11" s="357"/>
      <c r="B11" s="362"/>
      <c r="C11" s="362"/>
      <c r="D11" s="362"/>
      <c r="E11" s="362"/>
      <c r="F11" s="362"/>
      <c r="G11" s="34"/>
    </row>
    <row r="12" spans="1:7">
      <c r="A12" s="357"/>
      <c r="B12" s="42" t="s">
        <v>871</v>
      </c>
      <c r="C12" s="43" t="s">
        <v>874</v>
      </c>
      <c r="D12" s="213" t="s">
        <v>875</v>
      </c>
      <c r="E12" s="43" t="s">
        <v>628</v>
      </c>
      <c r="F12" s="43" t="s">
        <v>629</v>
      </c>
      <c r="G12" s="34"/>
    </row>
    <row r="13" spans="1:7" ht="33.75">
      <c r="A13" s="357"/>
      <c r="B13" s="2">
        <v>1</v>
      </c>
      <c r="C13" s="37" t="s">
        <v>1111</v>
      </c>
      <c r="D13" s="39" t="s">
        <v>899</v>
      </c>
      <c r="E13" s="196" t="s">
        <v>876</v>
      </c>
      <c r="F13" s="196"/>
      <c r="G13" s="34"/>
    </row>
    <row r="14" spans="1:7" ht="33.75">
      <c r="A14" s="357"/>
      <c r="B14" s="2">
        <v>2</v>
      </c>
      <c r="C14" s="37" t="s">
        <v>1111</v>
      </c>
      <c r="D14" s="39" t="s">
        <v>1048</v>
      </c>
      <c r="E14" s="196" t="s">
        <v>540</v>
      </c>
      <c r="F14" s="196" t="s">
        <v>541</v>
      </c>
      <c r="G14" s="34"/>
    </row>
    <row r="15" spans="1:7" ht="89.1" customHeight="1">
      <c r="A15" s="357"/>
      <c r="B15" s="363">
        <v>2.0099999999999998</v>
      </c>
      <c r="C15" s="354" t="s">
        <v>1111</v>
      </c>
      <c r="D15" s="366" t="s">
        <v>2358</v>
      </c>
      <c r="E15" s="197" t="s">
        <v>630</v>
      </c>
      <c r="F15" s="197" t="s">
        <v>633</v>
      </c>
      <c r="G15" s="34"/>
    </row>
    <row r="16" spans="1:7" ht="99" customHeight="1">
      <c r="A16" s="357"/>
      <c r="B16" s="364"/>
      <c r="C16" s="355"/>
      <c r="D16" s="367"/>
      <c r="E16" s="198"/>
      <c r="F16" s="198" t="s">
        <v>631</v>
      </c>
      <c r="G16" s="34"/>
    </row>
    <row r="17" spans="1:7" ht="63" customHeight="1">
      <c r="A17" s="357"/>
      <c r="B17" s="365"/>
      <c r="C17" s="356"/>
      <c r="D17" s="368"/>
      <c r="E17" s="37"/>
      <c r="F17" s="37" t="s">
        <v>632</v>
      </c>
      <c r="G17" s="34"/>
    </row>
    <row r="18" spans="1:7" ht="117" customHeight="1">
      <c r="A18" s="357"/>
      <c r="B18" s="363">
        <v>2.02</v>
      </c>
      <c r="C18" s="354" t="s">
        <v>1111</v>
      </c>
      <c r="D18" s="366" t="s">
        <v>2359</v>
      </c>
      <c r="E18" s="197" t="s">
        <v>449</v>
      </c>
      <c r="F18" s="197" t="s">
        <v>535</v>
      </c>
      <c r="G18" s="34"/>
    </row>
    <row r="19" spans="1:7" ht="71.099999999999994" customHeight="1">
      <c r="A19" s="357"/>
      <c r="B19" s="364"/>
      <c r="C19" s="355"/>
      <c r="D19" s="367"/>
      <c r="E19" s="198" t="s">
        <v>539</v>
      </c>
      <c r="F19" s="198" t="s">
        <v>450</v>
      </c>
      <c r="G19" s="34"/>
    </row>
    <row r="20" spans="1:7" ht="90.75" customHeight="1">
      <c r="A20" s="357"/>
      <c r="B20" s="364"/>
      <c r="C20" s="355"/>
      <c r="D20" s="367"/>
      <c r="E20" s="198"/>
      <c r="F20" s="198" t="s">
        <v>635</v>
      </c>
      <c r="G20" s="34"/>
    </row>
    <row r="21" spans="1:7" ht="74.25" customHeight="1">
      <c r="A21" s="357"/>
      <c r="B21" s="365"/>
      <c r="C21" s="356"/>
      <c r="D21" s="368"/>
      <c r="E21" s="37"/>
      <c r="F21" s="37" t="s">
        <v>634</v>
      </c>
      <c r="G21" s="34"/>
    </row>
    <row r="22" spans="1:7" ht="90" customHeight="1">
      <c r="A22" s="357"/>
      <c r="B22" s="348">
        <v>2.0299999999999998</v>
      </c>
      <c r="C22" s="348" t="s">
        <v>845</v>
      </c>
      <c r="D22" s="351" t="s">
        <v>2360</v>
      </c>
      <c r="E22" s="354" t="s">
        <v>447</v>
      </c>
      <c r="F22" s="197" t="s">
        <v>470</v>
      </c>
      <c r="G22" s="34"/>
    </row>
    <row r="23" spans="1:7" ht="109.5" customHeight="1">
      <c r="A23" s="357"/>
      <c r="B23" s="349"/>
      <c r="C23" s="349"/>
      <c r="D23" s="352"/>
      <c r="E23" s="355"/>
      <c r="F23" s="198" t="s">
        <v>846</v>
      </c>
      <c r="G23" s="34"/>
    </row>
    <row r="24" spans="1:7" ht="74.25" customHeight="1">
      <c r="A24" s="357"/>
      <c r="B24" s="350"/>
      <c r="C24" s="350"/>
      <c r="D24" s="353"/>
      <c r="E24" s="356"/>
      <c r="F24" s="37" t="s">
        <v>446</v>
      </c>
      <c r="G24" s="34"/>
    </row>
    <row r="25" spans="1:7" ht="72" customHeight="1">
      <c r="A25" s="357"/>
      <c r="B25" s="2" t="s">
        <v>468</v>
      </c>
      <c r="C25" s="37" t="s">
        <v>469</v>
      </c>
      <c r="D25" s="39" t="s">
        <v>2361</v>
      </c>
      <c r="E25" s="37" t="s">
        <v>2356</v>
      </c>
      <c r="F25" s="37" t="s">
        <v>471</v>
      </c>
      <c r="G25" s="34"/>
    </row>
    <row r="26" spans="1:7" ht="98.1" customHeight="1">
      <c r="A26" s="357"/>
      <c r="B26" s="369">
        <v>3</v>
      </c>
      <c r="C26" s="363" t="s">
        <v>72</v>
      </c>
      <c r="D26" s="366" t="s">
        <v>2362</v>
      </c>
      <c r="E26" s="354" t="s">
        <v>0</v>
      </c>
      <c r="F26" s="197" t="s">
        <v>66</v>
      </c>
      <c r="G26" s="34"/>
    </row>
    <row r="27" spans="1:7" ht="90" customHeight="1">
      <c r="A27" s="357"/>
      <c r="B27" s="370"/>
      <c r="C27" s="364"/>
      <c r="D27" s="367"/>
      <c r="E27" s="355"/>
      <c r="F27" s="198" t="s">
        <v>61</v>
      </c>
      <c r="G27" s="34"/>
    </row>
    <row r="28" spans="1:7" ht="19.350000000000001" customHeight="1">
      <c r="A28" s="357"/>
      <c r="B28" s="370"/>
      <c r="C28" s="364"/>
      <c r="D28" s="367"/>
      <c r="E28" s="355"/>
      <c r="F28" s="198" t="s">
        <v>62</v>
      </c>
      <c r="G28" s="34"/>
    </row>
    <row r="29" spans="1:7" ht="74.45" customHeight="1">
      <c r="A29" s="357"/>
      <c r="B29" s="370"/>
      <c r="C29" s="364"/>
      <c r="D29" s="367"/>
      <c r="E29" s="355"/>
      <c r="F29" s="198" t="s">
        <v>63</v>
      </c>
      <c r="G29" s="34"/>
    </row>
    <row r="30" spans="1:7" ht="62.45" customHeight="1">
      <c r="A30" s="357"/>
      <c r="B30" s="370"/>
      <c r="C30" s="364"/>
      <c r="D30" s="367"/>
      <c r="E30" s="355"/>
      <c r="F30" s="198" t="s">
        <v>64</v>
      </c>
      <c r="G30" s="34"/>
    </row>
    <row r="31" spans="1:7" ht="81" customHeight="1">
      <c r="A31" s="357"/>
      <c r="B31" s="370"/>
      <c r="C31" s="364"/>
      <c r="D31" s="367"/>
      <c r="E31" s="355"/>
      <c r="F31" s="198" t="s">
        <v>65</v>
      </c>
      <c r="G31" s="34"/>
    </row>
    <row r="32" spans="1:7" ht="48.75" customHeight="1">
      <c r="A32" s="357"/>
      <c r="B32" s="370"/>
      <c r="C32" s="364"/>
      <c r="D32" s="367"/>
      <c r="E32" s="355"/>
      <c r="F32" s="198" t="s">
        <v>68</v>
      </c>
      <c r="G32" s="34"/>
    </row>
    <row r="33" spans="1:7" ht="98.45" customHeight="1">
      <c r="A33" s="357"/>
      <c r="B33" s="370"/>
      <c r="C33" s="364"/>
      <c r="D33" s="367"/>
      <c r="E33" s="355"/>
      <c r="F33" s="198" t="s">
        <v>67</v>
      </c>
      <c r="G33" s="34"/>
    </row>
    <row r="34" spans="1:7" ht="89.1" customHeight="1">
      <c r="A34" s="357"/>
      <c r="B34" s="370"/>
      <c r="C34" s="364"/>
      <c r="D34" s="367"/>
      <c r="E34" s="355"/>
      <c r="F34" s="198" t="s">
        <v>69</v>
      </c>
      <c r="G34" s="34"/>
    </row>
    <row r="35" spans="1:7" ht="29.1" customHeight="1">
      <c r="A35" s="357"/>
      <c r="B35" s="370"/>
      <c r="C35" s="364"/>
      <c r="D35" s="367"/>
      <c r="E35" s="355"/>
      <c r="F35" s="198" t="s">
        <v>70</v>
      </c>
      <c r="G35" s="34"/>
    </row>
    <row r="36" spans="1:7" ht="126.75">
      <c r="A36" s="357"/>
      <c r="B36" s="371"/>
      <c r="C36" s="365"/>
      <c r="D36" s="368"/>
      <c r="E36" s="356"/>
      <c r="F36" s="199" t="s">
        <v>71</v>
      </c>
      <c r="G36" s="34"/>
    </row>
    <row r="37" spans="1:7" ht="112.5">
      <c r="A37" s="357"/>
      <c r="B37" s="171">
        <v>3.01</v>
      </c>
      <c r="C37" s="172" t="s">
        <v>72</v>
      </c>
      <c r="D37" s="39" t="s">
        <v>2363</v>
      </c>
      <c r="E37" s="200" t="s">
        <v>1351</v>
      </c>
      <c r="F37" s="201" t="s">
        <v>1457</v>
      </c>
      <c r="G37" s="34"/>
    </row>
    <row r="38" spans="1:7" ht="101.25">
      <c r="A38" s="357"/>
      <c r="B38" s="171">
        <v>3.02</v>
      </c>
      <c r="C38" s="172" t="s">
        <v>1384</v>
      </c>
      <c r="D38" s="39" t="s">
        <v>2364</v>
      </c>
      <c r="E38" s="200" t="s">
        <v>1399</v>
      </c>
      <c r="F38" s="201" t="s">
        <v>1458</v>
      </c>
      <c r="G38" s="34"/>
    </row>
    <row r="39" spans="1:7" ht="101.25">
      <c r="A39" s="357"/>
      <c r="B39" s="182">
        <v>4</v>
      </c>
      <c r="C39" s="181" t="s">
        <v>1554</v>
      </c>
      <c r="D39" s="39" t="s">
        <v>2365</v>
      </c>
      <c r="E39" s="37" t="s">
        <v>2307</v>
      </c>
      <c r="F39" s="37" t="s">
        <v>1555</v>
      </c>
      <c r="G39" s="34"/>
    </row>
    <row r="40" spans="1:7" ht="56.25">
      <c r="A40" s="357"/>
      <c r="B40" s="171">
        <v>4.01</v>
      </c>
      <c r="C40" s="181" t="s">
        <v>1554</v>
      </c>
      <c r="D40" s="39" t="s">
        <v>2367</v>
      </c>
      <c r="E40" s="37" t="s">
        <v>2321</v>
      </c>
      <c r="F40" s="37" t="s">
        <v>2326</v>
      </c>
      <c r="G40" s="34"/>
    </row>
    <row r="41" spans="1:7" ht="56.25">
      <c r="A41" s="357"/>
      <c r="B41" s="171" t="s">
        <v>2354</v>
      </c>
      <c r="C41" s="181" t="s">
        <v>1554</v>
      </c>
      <c r="D41" s="39" t="s">
        <v>2366</v>
      </c>
      <c r="E41" s="37" t="s">
        <v>2357</v>
      </c>
      <c r="F41" s="37" t="s">
        <v>2355</v>
      </c>
      <c r="G41" s="34"/>
    </row>
    <row r="42" spans="1:7" ht="56.25">
      <c r="A42" s="357"/>
      <c r="B42" s="171" t="s">
        <v>2399</v>
      </c>
      <c r="C42" s="181" t="s">
        <v>1554</v>
      </c>
      <c r="D42" s="39" t="s">
        <v>2406</v>
      </c>
      <c r="E42" s="37" t="s">
        <v>2356</v>
      </c>
      <c r="F42" s="37" t="s">
        <v>2400</v>
      </c>
      <c r="G42" s="34"/>
    </row>
    <row r="43" spans="1:7" ht="123.75">
      <c r="A43" s="357"/>
      <c r="B43" s="193">
        <v>4.0999999999999996</v>
      </c>
      <c r="C43" s="181" t="s">
        <v>2405</v>
      </c>
      <c r="D43" s="194">
        <v>42867</v>
      </c>
      <c r="E43" s="202" t="s">
        <v>2408</v>
      </c>
      <c r="F43" s="37" t="s">
        <v>2407</v>
      </c>
      <c r="G43" s="34"/>
    </row>
    <row r="44" spans="1:7" ht="78.75">
      <c r="A44" s="357"/>
      <c r="B44" s="193">
        <v>4.2</v>
      </c>
      <c r="C44" s="181" t="s">
        <v>2405</v>
      </c>
      <c r="D44" s="194">
        <v>42704</v>
      </c>
      <c r="E44" s="202" t="s">
        <v>2625</v>
      </c>
      <c r="F44" s="37" t="s">
        <v>2598</v>
      </c>
      <c r="G44" s="34"/>
    </row>
    <row r="45" spans="1:7" ht="157.5">
      <c r="A45" s="357"/>
      <c r="B45" s="243">
        <v>5</v>
      </c>
      <c r="C45" s="181" t="s">
        <v>2405</v>
      </c>
      <c r="D45" s="194">
        <v>42867</v>
      </c>
      <c r="E45" s="202" t="s">
        <v>13032</v>
      </c>
      <c r="F45" s="37" t="s">
        <v>12754</v>
      </c>
      <c r="G45" s="34"/>
    </row>
    <row r="46" spans="1:7" ht="45">
      <c r="A46" s="357"/>
      <c r="B46" s="193">
        <v>5.01</v>
      </c>
      <c r="C46" s="181" t="s">
        <v>2405</v>
      </c>
      <c r="D46" s="194">
        <v>42907</v>
      </c>
      <c r="E46" s="202" t="s">
        <v>13052</v>
      </c>
      <c r="F46" s="37" t="s">
        <v>12754</v>
      </c>
      <c r="G46" s="34"/>
    </row>
    <row r="47" spans="1:7" ht="67.5">
      <c r="A47" s="357"/>
      <c r="B47" s="193">
        <v>5.0999999999999996</v>
      </c>
      <c r="C47" s="181" t="s">
        <v>2405</v>
      </c>
      <c r="D47" s="194">
        <v>43070</v>
      </c>
      <c r="E47" s="202" t="s">
        <v>13247</v>
      </c>
      <c r="F47" s="37" t="s">
        <v>13248</v>
      </c>
      <c r="G47" s="34"/>
    </row>
    <row r="48" spans="1:7" ht="56.25">
      <c r="A48" s="357"/>
      <c r="B48" s="193">
        <v>5.1100000000000003</v>
      </c>
      <c r="C48" s="181" t="s">
        <v>13489</v>
      </c>
      <c r="D48" s="194">
        <v>43217</v>
      </c>
      <c r="E48" s="202" t="s">
        <v>13617</v>
      </c>
      <c r="F48" s="37" t="s">
        <v>13523</v>
      </c>
      <c r="G48" s="34"/>
    </row>
    <row r="49" spans="1:7" ht="56.25">
      <c r="A49" s="357"/>
      <c r="B49" s="193">
        <v>5.12</v>
      </c>
      <c r="C49" s="181" t="s">
        <v>13489</v>
      </c>
      <c r="D49" s="194">
        <v>43581</v>
      </c>
      <c r="E49" s="202" t="s">
        <v>13617</v>
      </c>
      <c r="F49" s="37" t="s">
        <v>14191</v>
      </c>
      <c r="G49" s="34"/>
    </row>
    <row r="50" spans="1:7" ht="78.75">
      <c r="A50" s="357"/>
      <c r="B50" s="243">
        <v>6</v>
      </c>
      <c r="C50" s="181" t="s">
        <v>13489</v>
      </c>
      <c r="D50" s="194">
        <v>43964</v>
      </c>
      <c r="E50" s="202" t="s">
        <v>14433</v>
      </c>
      <c r="F50" s="37" t="s">
        <v>14204</v>
      </c>
      <c r="G50" s="34"/>
    </row>
    <row r="51" spans="1:7" ht="45">
      <c r="A51" s="357"/>
      <c r="B51" s="193">
        <v>6.01</v>
      </c>
      <c r="C51" s="181" t="s">
        <v>13489</v>
      </c>
      <c r="D51" s="194">
        <v>43970</v>
      </c>
      <c r="E51" s="202" t="s">
        <v>15503</v>
      </c>
      <c r="F51" s="202" t="s">
        <v>14204</v>
      </c>
      <c r="G51" s="34"/>
    </row>
    <row r="52" spans="1:7" ht="13.5" thickBot="1">
      <c r="A52" s="358"/>
      <c r="B52" s="359" t="str">
        <f ca="1">OFFSET(L!$C$1,MATCH("General"&amp;"Cpy",L!$A:$A,0)-1,SL,,)</f>
        <v>© 2020 Responsible Minerals Initiative. All rights reserved.</v>
      </c>
      <c r="C52" s="359"/>
      <c r="D52" s="359"/>
      <c r="E52" s="359"/>
      <c r="F52" s="359"/>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election activeCell="C2" sqref="C2"/>
    </sheetView>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90" zoomScaleNormal="90" zoomScalePageLayoutView="80" workbookViewId="0">
      <pane ySplit="2" topLeftCell="A3" activePane="bottomLeft" state="frozen"/>
      <selection activeCell="A4" sqref="A4"/>
      <selection pane="bottomLeft" activeCell="E5" sqref="E5"/>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3.95"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5">
      <c r="A10" s="87"/>
      <c r="B10" s="74" t="str">
        <f ca="1">OFFSET(L!$C$1,MATCH("Definitions"&amp;ADDRESS(ROW(),COLUMN(),4),L!$A:$A,0)-1,SL,,)</f>
        <v>DRC</v>
      </c>
      <c r="C10" s="74" t="str">
        <f ca="1">OFFSET(L!$C$1,MATCH("Definitions"&amp;ADDRESS(ROW(),COLUMN(),4),L!$A:$A,0)-1,SL,,)</f>
        <v>Democratic Republic of Congo</v>
      </c>
      <c r="D10" s="37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6"/>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3.5" thickBot="1">
      <c r="A33" s="88"/>
      <c r="B33" s="185"/>
      <c r="C33" s="185"/>
      <c r="D33" s="377"/>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3" sqref="D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0"/>
      <c r="B1" s="401"/>
      <c r="C1" s="401"/>
      <c r="D1" s="401"/>
      <c r="E1" s="401"/>
      <c r="F1" s="401"/>
      <c r="G1" s="401"/>
      <c r="H1" s="401"/>
      <c r="I1" s="401"/>
      <c r="J1" s="401"/>
      <c r="K1" s="402"/>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03" t="str">
        <f ca="1">OFFSET(L!$C$1,MATCH("Declaration"&amp;ADDRESS(ROW(),COLUMN(),4),L!$A:$A,0)-1,SL,,)</f>
        <v>Conflict Minerals Reporting Template (CMRT)</v>
      </c>
      <c r="E2" s="404"/>
      <c r="F2" s="404"/>
      <c r="G2" s="404"/>
      <c r="H2" s="404"/>
      <c r="I2" s="404"/>
      <c r="J2" s="405"/>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13"/>
      <c r="G3" s="413"/>
      <c r="H3" s="413"/>
      <c r="I3" s="184"/>
      <c r="J3" s="168" t="s">
        <v>15505</v>
      </c>
      <c r="K3" s="47"/>
      <c r="L3" s="139"/>
      <c r="M3" s="130"/>
      <c r="N3" s="130"/>
      <c r="O3" s="131"/>
      <c r="P3" s="144">
        <f>MATCH($D$3,LN,0)</f>
        <v>1</v>
      </c>
    </row>
    <row r="4" spans="1:34" ht="15.75">
      <c r="A4" s="45"/>
      <c r="B4" s="409" t="str">
        <f ca="1">OFFSET(L!$C$1,MATCH("Declaration"&amp;ADDRESS(ROW(),COLUMN(),4),L!$A:$A,0)-1,SL,,)</f>
        <v>The purpose of this document is to collect sourcing information on tin, tantalum, tungsten and gold used in products</v>
      </c>
      <c r="C4" s="409"/>
      <c r="D4" s="409"/>
      <c r="E4" s="409"/>
      <c r="F4" s="409"/>
      <c r="G4" s="409"/>
      <c r="H4" s="409"/>
      <c r="I4" s="414" t="str">
        <f ca="1">OFFSET(L!$C$1,MATCH("Declaration"&amp;ADDRESS(ROW(),COLUMN(),4),L!$A:$A,0)-1,SL,,)</f>
        <v>Link to Terms &amp; Conditions</v>
      </c>
      <c r="J4" s="414"/>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09" t="str">
        <f ca="1">OFFSET(L!$C$1,MATCH("Declaration"&amp;ADDRESS(ROW(),COLUMN(),4),L!$A:$A,0)-1,SL,,)</f>
        <v>Mandatory fields are noted with an asterisk (*).  Consult the instructions tab for guidance on how to answer each question.</v>
      </c>
      <c r="C6" s="409"/>
      <c r="D6" s="409"/>
      <c r="E6" s="409"/>
      <c r="F6" s="409"/>
      <c r="G6" s="409"/>
      <c r="H6" s="409"/>
      <c r="I6" s="409"/>
      <c r="J6" s="409"/>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18" t="str">
        <f ca="1">OFFSET(L!$C$1,MATCH("Declaration"&amp;ADDRESS(ROW(),COLUMN(),4),L!$A:$A,0)-1,SL,,)</f>
        <v>Company Information</v>
      </c>
      <c r="C7" s="418"/>
      <c r="D7" s="418"/>
      <c r="E7" s="418"/>
      <c r="F7" s="418"/>
      <c r="G7" s="418"/>
      <c r="H7" s="418"/>
      <c r="I7" s="418"/>
      <c r="J7" s="418"/>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06" t="s">
        <v>15506</v>
      </c>
      <c r="E8" s="407"/>
      <c r="F8" s="407"/>
      <c r="G8" s="407"/>
      <c r="H8" s="407"/>
      <c r="I8" s="407"/>
      <c r="J8" s="408"/>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15" t="s">
        <v>504</v>
      </c>
      <c r="E9" s="416"/>
      <c r="F9" s="416"/>
      <c r="G9" s="417"/>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19" t="str">
        <f ca="1">OFFSET(L!$C$1,MATCH("Declaration"&amp;ADDRESS(ROW(),COLUMN(),4)&amp;LEFT($D$9,1),L!$A:$A,0)-1,SL,,)</f>
        <v>Description of Scope:</v>
      </c>
      <c r="C10" s="151"/>
      <c r="D10" s="410"/>
      <c r="E10" s="411"/>
      <c r="F10" s="411"/>
      <c r="G10" s="411"/>
      <c r="H10" s="411"/>
      <c r="I10" s="411"/>
      <c r="J10" s="412"/>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0"/>
      <c r="C11" s="151"/>
      <c r="D11" s="429" t="str">
        <f ca="1">IF(D9=Q9,OFFSET(L!$C$1,MATCH("Declaration"&amp;ADDRESS(ROW(),COLUMN(),4),L!$A:$A,0)-1,SL,,),"")</f>
        <v/>
      </c>
      <c r="E11" s="430"/>
      <c r="F11" s="430"/>
      <c r="G11" s="430"/>
      <c r="H11" s="430"/>
      <c r="I11" s="430"/>
      <c r="J11" s="43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92"/>
      <c r="E12" s="393"/>
      <c r="F12" s="393"/>
      <c r="G12" s="393"/>
      <c r="H12" s="393"/>
      <c r="I12" s="393"/>
      <c r="J12" s="39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92"/>
      <c r="E13" s="393"/>
      <c r="F13" s="393"/>
      <c r="G13" s="393"/>
      <c r="H13" s="393"/>
      <c r="I13" s="393"/>
      <c r="J13" s="39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92" t="s">
        <v>15507</v>
      </c>
      <c r="E14" s="393"/>
      <c r="F14" s="393"/>
      <c r="G14" s="393"/>
      <c r="H14" s="393"/>
      <c r="I14" s="393"/>
      <c r="J14" s="39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2" t="s">
        <v>15508</v>
      </c>
      <c r="E15" s="393"/>
      <c r="F15" s="393"/>
      <c r="G15" s="393"/>
      <c r="H15" s="393"/>
      <c r="I15" s="393"/>
      <c r="J15" s="39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1" t="s">
        <v>15509</v>
      </c>
      <c r="E16" s="422"/>
      <c r="F16" s="422"/>
      <c r="G16" s="422"/>
      <c r="H16" s="422"/>
      <c r="I16" s="422"/>
      <c r="J16" s="423"/>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2" t="s">
        <v>15510</v>
      </c>
      <c r="E17" s="393"/>
      <c r="F17" s="393"/>
      <c r="G17" s="393"/>
      <c r="H17" s="393"/>
      <c r="I17" s="393"/>
      <c r="J17" s="39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2" t="s">
        <v>15508</v>
      </c>
      <c r="E18" s="393"/>
      <c r="F18" s="393"/>
      <c r="G18" s="393"/>
      <c r="H18" s="393"/>
      <c r="I18" s="393"/>
      <c r="J18" s="39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2" t="s">
        <v>15511</v>
      </c>
      <c r="E19" s="393"/>
      <c r="F19" s="393"/>
      <c r="G19" s="393"/>
      <c r="H19" s="393"/>
      <c r="I19" s="393"/>
      <c r="J19" s="39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1" t="s">
        <v>15509</v>
      </c>
      <c r="E20" s="422"/>
      <c r="F20" s="422"/>
      <c r="G20" s="422"/>
      <c r="H20" s="422"/>
      <c r="I20" s="422"/>
      <c r="J20" s="423"/>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386" t="s">
        <v>15510</v>
      </c>
      <c r="E21" s="387"/>
      <c r="F21" s="387"/>
      <c r="G21" s="387"/>
      <c r="H21" s="387"/>
      <c r="I21" s="387"/>
      <c r="J21" s="388"/>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89">
        <v>44034</v>
      </c>
      <c r="E22" s="390"/>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26"/>
      <c r="E23" s="426"/>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1" t="str">
        <f ca="1">OFFSET(L!$C$1,MATCH("Declaration"&amp;ADDRESS(ROW(),COLUMN(),4),L!$A:$A,0)-1,SL,,)</f>
        <v>Answer the following questions 1 - 8 based on the declaration scope indicated above</v>
      </c>
      <c r="C24" s="391"/>
      <c r="D24" s="391"/>
      <c r="E24" s="391"/>
      <c r="F24" s="391"/>
      <c r="G24" s="391"/>
      <c r="H24" s="391"/>
      <c r="I24" s="391"/>
      <c r="J24" s="391"/>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27" t="str">
        <f ca="1">OFFSET(L!$C$1,MATCH("Declaration"&amp;ADDRESS(ROW(),COLUMN(),4),L!$A:$A,0)-1,SL,,)</f>
        <v>Answer</v>
      </c>
      <c r="E25" s="427"/>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8" t="s">
        <v>499</v>
      </c>
      <c r="E26" s="379"/>
      <c r="F26" s="15"/>
      <c r="G26" s="380"/>
      <c r="H26" s="381"/>
      <c r="I26" s="381"/>
      <c r="J26" s="382"/>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8" t="s">
        <v>498</v>
      </c>
      <c r="E27" s="379"/>
      <c r="F27" s="15"/>
      <c r="G27" s="380"/>
      <c r="H27" s="381"/>
      <c r="I27" s="381"/>
      <c r="J27" s="38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8" t="s">
        <v>498</v>
      </c>
      <c r="E28" s="379"/>
      <c r="F28" s="15"/>
      <c r="G28" s="380"/>
      <c r="H28" s="381"/>
      <c r="I28" s="381"/>
      <c r="J28" s="382"/>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8" t="s">
        <v>499</v>
      </c>
      <c r="E29" s="379"/>
      <c r="F29" s="15"/>
      <c r="G29" s="380"/>
      <c r="H29" s="381"/>
      <c r="I29" s="381"/>
      <c r="J29" s="382"/>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85" t="str">
        <f ca="1">D25</f>
        <v>Answer</v>
      </c>
      <c r="E31" s="385"/>
      <c r="F31" s="21"/>
      <c r="G31" s="55" t="str">
        <f ca="1">G25</f>
        <v>Comments</v>
      </c>
      <c r="H31" s="55"/>
      <c r="I31" s="55"/>
      <c r="J31" s="96"/>
      <c r="K31" s="47"/>
      <c r="L31" s="136" t="s">
        <v>1266</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5"/>
      <c r="E32" s="396"/>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8" t="s">
        <v>498</v>
      </c>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8" t="s">
        <v>498</v>
      </c>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8"/>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5" t="str">
        <f ca="1">D25</f>
        <v>Answer</v>
      </c>
      <c r="E37" s="385"/>
      <c r="F37" s="21"/>
      <c r="G37" s="55" t="str">
        <f ca="1">G25</f>
        <v>Comments</v>
      </c>
      <c r="H37" s="425"/>
      <c r="I37" s="425"/>
      <c r="J37" s="425"/>
      <c r="K37" s="47"/>
      <c r="L37" s="136" t="s">
        <v>1266</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8"/>
      <c r="E38" s="379"/>
      <c r="F38" s="58"/>
      <c r="G38" s="380"/>
      <c r="H38" s="381"/>
      <c r="I38" s="381"/>
      <c r="J38" s="382"/>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8" t="s">
        <v>498</v>
      </c>
      <c r="E39" s="379"/>
      <c r="F39" s="58"/>
      <c r="G39" s="380" t="s">
        <v>15512</v>
      </c>
      <c r="H39" s="381"/>
      <c r="I39" s="381"/>
      <c r="J39" s="38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8" t="s">
        <v>499</v>
      </c>
      <c r="E40" s="379"/>
      <c r="F40" s="58"/>
      <c r="G40" s="380"/>
      <c r="H40" s="381"/>
      <c r="I40" s="381"/>
      <c r="J40" s="382"/>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8"/>
      <c r="E41" s="379"/>
      <c r="F41" s="58"/>
      <c r="G41" s="380"/>
      <c r="H41" s="381"/>
      <c r="I41" s="381"/>
      <c r="J41" s="382"/>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385" t="str">
        <f ca="1">D25</f>
        <v>Answer</v>
      </c>
      <c r="E43" s="385"/>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78"/>
      <c r="E44" s="379"/>
      <c r="F44" s="58"/>
      <c r="G44" s="380"/>
      <c r="H44" s="381"/>
      <c r="I44" s="381"/>
      <c r="J44" s="382"/>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78" t="s">
        <v>498</v>
      </c>
      <c r="E45" s="379"/>
      <c r="F45" s="58"/>
      <c r="G45" s="380" t="s">
        <v>15513</v>
      </c>
      <c r="H45" s="381"/>
      <c r="I45" s="381"/>
      <c r="J45" s="38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78" t="s">
        <v>499</v>
      </c>
      <c r="E46" s="379"/>
      <c r="F46" s="58"/>
      <c r="G46" s="380"/>
      <c r="H46" s="381"/>
      <c r="I46" s="381"/>
      <c r="J46" s="382"/>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78"/>
      <c r="E47" s="379"/>
      <c r="F47" s="58"/>
      <c r="G47" s="380"/>
      <c r="H47" s="381"/>
      <c r="I47" s="381"/>
      <c r="J47" s="382"/>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85" t="str">
        <f ca="1">D25</f>
        <v>Answer</v>
      </c>
      <c r="E49" s="385"/>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78"/>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78" t="s">
        <v>499</v>
      </c>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78" t="s">
        <v>499</v>
      </c>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78"/>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385" t="str">
        <f ca="1">D25</f>
        <v>Answer</v>
      </c>
      <c r="E55" s="385"/>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83"/>
      <c r="E56" s="384"/>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83">
        <v>1</v>
      </c>
      <c r="E57" s="384"/>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83">
        <v>1</v>
      </c>
      <c r="E58" s="384"/>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83"/>
      <c r="E59" s="384"/>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85" t="str">
        <f ca="1">D25</f>
        <v>Answer</v>
      </c>
      <c r="E61" s="385"/>
      <c r="F61" s="21"/>
      <c r="G61" s="55" t="str">
        <f ca="1">G25</f>
        <v>Comments</v>
      </c>
      <c r="H61" s="424"/>
      <c r="I61" s="424"/>
      <c r="J61" s="424"/>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395"/>
      <c r="E62" s="396"/>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78" t="s">
        <v>498</v>
      </c>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78" t="s">
        <v>498</v>
      </c>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78"/>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85" t="str">
        <f ca="1">D25</f>
        <v>Answer</v>
      </c>
      <c r="E67" s="385"/>
      <c r="F67" s="21"/>
      <c r="G67" s="55" t="str">
        <f ca="1">G25</f>
        <v>Comments</v>
      </c>
      <c r="H67" s="424" t="str">
        <f>IF(Q75="(*)","Click here to enter smelter names","")</f>
        <v/>
      </c>
      <c r="I67" s="424"/>
      <c r="J67" s="424"/>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78"/>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78" t="s">
        <v>498</v>
      </c>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78" t="s">
        <v>498</v>
      </c>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78"/>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38" t="str">
        <f ca="1">OFFSET(L!$C$1,MATCH("Declaration"&amp;ADDRESS(ROW(),COLUMN(),4),L!$A:$A,0)-1,SL,,)</f>
        <v>Answer the Following Questions at a Company Level</v>
      </c>
      <c r="C73" s="438"/>
      <c r="D73" s="438"/>
      <c r="E73" s="438"/>
      <c r="F73" s="438"/>
      <c r="G73" s="438"/>
      <c r="H73" s="438"/>
      <c r="I73" s="438"/>
      <c r="J73" s="438"/>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27" t="str">
        <f ca="1">D25</f>
        <v>Answer</v>
      </c>
      <c r="E74" s="427"/>
      <c r="F74" s="64"/>
      <c r="G74" s="427" t="str">
        <f ca="1">G25</f>
        <v>Comments</v>
      </c>
      <c r="H74" s="427" t="e">
        <f>HLOOKUP(SL,LT,$O74,0)</f>
        <v>#NAME?</v>
      </c>
      <c r="I74" s="427"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8" t="s">
        <v>498</v>
      </c>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28"/>
      <c r="H76" s="428"/>
      <c r="I76" s="428"/>
      <c r="J76" s="428"/>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8" t="s">
        <v>498</v>
      </c>
      <c r="E77" s="379"/>
      <c r="F77" s="68"/>
      <c r="G77" s="397" t="s">
        <v>15514</v>
      </c>
      <c r="H77" s="398"/>
      <c r="I77" s="398"/>
      <c r="J77" s="399"/>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8" t="s">
        <v>498</v>
      </c>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8" t="s">
        <v>498</v>
      </c>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8" t="s">
        <v>15442</v>
      </c>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35" t="s">
        <v>498</v>
      </c>
      <c r="E85" s="436"/>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28"/>
      <c r="H86" s="428"/>
      <c r="I86" s="428"/>
      <c r="J86" s="428"/>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8" t="s">
        <v>498</v>
      </c>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37"/>
      <c r="H88" s="437"/>
      <c r="I88" s="437"/>
      <c r="J88" s="437"/>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8" t="s">
        <v>499</v>
      </c>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34" t="str">
        <f>IF(OR($D$8="",$I$3=""),"","Click here to check required fields completion")</f>
        <v/>
      </c>
      <c r="C90" s="434"/>
      <c r="D90" s="434"/>
      <c r="E90" s="434"/>
      <c r="F90" s="434"/>
      <c r="G90" s="434"/>
      <c r="H90" s="434"/>
      <c r="I90" s="434"/>
      <c r="J90" s="434"/>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2" t="str">
        <f ca="1">OFFSET(L!$C$1,MATCH("General"&amp;"Cpy",L!$A:$A,0)-1,SL,,)</f>
        <v>© 2020 Responsible Minerals Initiative. All rights reserved.</v>
      </c>
      <c r="B91" s="433"/>
      <c r="C91" s="433"/>
      <c r="D91" s="433"/>
      <c r="E91" s="433"/>
      <c r="F91" s="433"/>
      <c r="G91" s="433"/>
      <c r="H91" s="433"/>
      <c r="I91" s="433"/>
      <c r="J91" s="433"/>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1" priority="63" stopIfTrue="1">
      <formula>AND(OR($D$26="No",AND($D$26="Yes",$D$32="No")),OR($D$27="No",AND($D$27="Yes",$D$33="No")),OR($D$28="No",AND($D$28="Yes",$D$34="No")),OR($D$29="No",AND($D$29="Yes",$D$35="No")))</formula>
    </cfRule>
    <cfRule type="expression" dxfId="100" priority="64" stopIfTrue="1">
      <formula>IF(D75="",TRUE)</formula>
    </cfRule>
  </conditionalFormatting>
  <conditionalFormatting sqref="G77:J77">
    <cfRule type="expression" dxfId="99" priority="35" stopIfTrue="1">
      <formula>IF(AND($D$77="Yes",$G$77=""),TRUE)</formula>
    </cfRule>
  </conditionalFormatting>
  <conditionalFormatting sqref="D26:E26">
    <cfRule type="expression" dxfId="98" priority="115" stopIfTrue="1">
      <formula>IF($D$26="",TRUE)</formula>
    </cfRule>
  </conditionalFormatting>
  <conditionalFormatting sqref="D27:E27">
    <cfRule type="expression" dxfId="97" priority="122" stopIfTrue="1">
      <formula>IF($D$27="",TRUE)</formula>
    </cfRule>
  </conditionalFormatting>
  <conditionalFormatting sqref="D28:E28">
    <cfRule type="expression" dxfId="96" priority="123" stopIfTrue="1">
      <formula>IF($D$28="",TRUE)</formula>
    </cfRule>
  </conditionalFormatting>
  <conditionalFormatting sqref="D29:E29">
    <cfRule type="expression" dxfId="95" priority="124" stopIfTrue="1">
      <formula>IF($D$29="",TRUE)</formula>
    </cfRule>
  </conditionalFormatting>
  <conditionalFormatting sqref="D8:J8">
    <cfRule type="expression" dxfId="94" priority="129" stopIfTrue="1">
      <formula>IF($D$8="",TRUE)</formula>
    </cfRule>
  </conditionalFormatting>
  <conditionalFormatting sqref="D9:G9">
    <cfRule type="expression" dxfId="93" priority="130" stopIfTrue="1">
      <formula>IF($D$9="",TRUE)</formula>
    </cfRule>
  </conditionalFormatting>
  <conditionalFormatting sqref="D15:J15">
    <cfRule type="expression" dxfId="92" priority="131" stopIfTrue="1">
      <formula>IF($D$15="",TRUE)</formula>
    </cfRule>
  </conditionalFormatting>
  <conditionalFormatting sqref="D16:J16">
    <cfRule type="expression" dxfId="91" priority="132" stopIfTrue="1">
      <formula>IF($D$16="",TRUE)</formula>
    </cfRule>
  </conditionalFormatting>
  <conditionalFormatting sqref="D17:J17">
    <cfRule type="expression" dxfId="90" priority="133" stopIfTrue="1">
      <formula>IF($D$17="",TRUE)</formula>
    </cfRule>
  </conditionalFormatting>
  <conditionalFormatting sqref="D18:J18">
    <cfRule type="expression" dxfId="89" priority="134" stopIfTrue="1">
      <formula>IF($D$18="",TRUE)</formula>
    </cfRule>
  </conditionalFormatting>
  <conditionalFormatting sqref="D22:E22">
    <cfRule type="expression" dxfId="88" priority="137" stopIfTrue="1">
      <formula>IF($D$22="",TRUE)</formula>
    </cfRule>
  </conditionalFormatting>
  <conditionalFormatting sqref="D10:J10">
    <cfRule type="expression" dxfId="87" priority="34" stopIfTrue="1">
      <formula>IF($D$9=$Q$9,TRUE)</formula>
    </cfRule>
    <cfRule type="expression" dxfId="86" priority="144" stopIfTrue="1">
      <formula>IF(AND($D$10="",$D$9=$R$9),TRUE)</formula>
    </cfRule>
  </conditionalFormatting>
  <conditionalFormatting sqref="D34:E34 D40:E40 D52:E52 D58:E58 D64:E64 D70:E70">
    <cfRule type="expression" dxfId="85" priority="27" stopIfTrue="1">
      <formula>$P$28=""</formula>
    </cfRule>
  </conditionalFormatting>
  <conditionalFormatting sqref="D35:E35 D41:E41 D53:E53 D59:E59 D65:E65 D71:E71">
    <cfRule type="expression" dxfId="84" priority="142" stopIfTrue="1">
      <formula>$P$29=""</formula>
    </cfRule>
  </conditionalFormatting>
  <conditionalFormatting sqref="D32:E32">
    <cfRule type="expression" dxfId="83" priority="120" stopIfTrue="1">
      <formula>$P$26=""</formula>
    </cfRule>
  </conditionalFormatting>
  <conditionalFormatting sqref="D32:E32">
    <cfRule type="expression" dxfId="82" priority="33" stopIfTrue="1">
      <formula>IF(AND(OR($D$26="Yes",$D$26=""),$D$32=""),1,0)</formula>
    </cfRule>
  </conditionalFormatting>
  <conditionalFormatting sqref="D38 D50 D56 D62 D68">
    <cfRule type="expression" dxfId="81" priority="29" stopIfTrue="1">
      <formula>$P$32=""</formula>
    </cfRule>
  </conditionalFormatting>
  <conditionalFormatting sqref="D39:E39 D51 D57 D63 D69">
    <cfRule type="expression" dxfId="80" priority="28" stopIfTrue="1">
      <formula>$P$33=""</formula>
    </cfRule>
  </conditionalFormatting>
  <conditionalFormatting sqref="D40 D52 D58 D64 D70">
    <cfRule type="expression" dxfId="79" priority="18" stopIfTrue="1">
      <formula>$P$34=""</formula>
    </cfRule>
    <cfRule type="expression" dxfId="78" priority="140" stopIfTrue="1">
      <formula>IF(AND(OR($D$28="Yes",$D$28=""),D40=""),1,0)</formula>
    </cfRule>
  </conditionalFormatting>
  <conditionalFormatting sqref="D41 D53 D59 D65 D71">
    <cfRule type="expression" dxfId="77" priority="26" stopIfTrue="1">
      <formula>$P$35=""</formula>
    </cfRule>
  </conditionalFormatting>
  <conditionalFormatting sqref="D38:E38 D50:E50 D56:E56 D62:E62 D68:E68">
    <cfRule type="expression" dxfId="76" priority="31" stopIfTrue="1">
      <formula>$P$26=""</formula>
    </cfRule>
    <cfRule type="expression" dxfId="75" priority="32" stopIfTrue="1">
      <formula>IF(AND(OR($D$26="Yes",$D$26=""),D38=""),1,0)</formula>
    </cfRule>
  </conditionalFormatting>
  <conditionalFormatting sqref="G85:J85">
    <cfRule type="expression" dxfId="74" priority="25" stopIfTrue="1">
      <formula>IF(AND($D$85="Yes, using other format (describe)",$G$85=""),TRUE)</formula>
    </cfRule>
  </conditionalFormatting>
  <conditionalFormatting sqref="D39:E39 D51:E51 D57:E57 D63:E63 D69:E69">
    <cfRule type="expression" dxfId="73" priority="138" stopIfTrue="1">
      <formula>$P$39=""</formula>
    </cfRule>
    <cfRule type="expression" dxfId="72" priority="139" stopIfTrue="1">
      <formula>IF(AND(OR($D$27="Yes",$D$27=""),D39=""),1,0)</formula>
    </cfRule>
  </conditionalFormatting>
  <conditionalFormatting sqref="D33:E33">
    <cfRule type="expression" dxfId="71" priority="20" stopIfTrue="1">
      <formula>IF(AND(OR($D$27="Yes",$D$27=""),$D$33=""),1,0)</formula>
    </cfRule>
    <cfRule type="expression" dxfId="70" priority="21" stopIfTrue="1">
      <formula>$P$27=""</formula>
    </cfRule>
  </conditionalFormatting>
  <conditionalFormatting sqref="D34:E34">
    <cfRule type="expression" dxfId="69" priority="141" stopIfTrue="1">
      <formula>IF(AND(OR($D$28="Yes",$D$28=""),$D$34=""),1,0)</formula>
    </cfRule>
  </conditionalFormatting>
  <conditionalFormatting sqref="D41:E41 D53:E53 D59:E59 D65:E65 D71:E71">
    <cfRule type="expression" dxfId="68" priority="143" stopIfTrue="1">
      <formula>IF(AND(OR($D$29="Yes",$D$29=""),D41=""),1,0)</formula>
    </cfRule>
  </conditionalFormatting>
  <conditionalFormatting sqref="D35:E35">
    <cfRule type="expression" dxfId="67" priority="17" stopIfTrue="1">
      <formula>IF(AND(OR($D$29="Yes",$D$29=""),$D$35=""),1,0)</formula>
    </cfRule>
  </conditionalFormatting>
  <conditionalFormatting sqref="D20:J20">
    <cfRule type="expression" dxfId="66" priority="13" stopIfTrue="1">
      <formula>IF($D$20="",TRUE)</formula>
    </cfRule>
  </conditionalFormatting>
  <conditionalFormatting sqref="D46:E46">
    <cfRule type="expression" dxfId="65" priority="3" stopIfTrue="1">
      <formula>$P$28=""</formula>
    </cfRule>
  </conditionalFormatting>
  <conditionalFormatting sqref="D47:E47">
    <cfRule type="expression" dxfId="64" priority="11" stopIfTrue="1">
      <formula>$P$29=""</formula>
    </cfRule>
  </conditionalFormatting>
  <conditionalFormatting sqref="D44">
    <cfRule type="expression" dxfId="63" priority="5" stopIfTrue="1">
      <formula>$P$32=""</formula>
    </cfRule>
  </conditionalFormatting>
  <conditionalFormatting sqref="D45">
    <cfRule type="expression" dxfId="62" priority="4" stopIfTrue="1">
      <formula>$P$33=""</formula>
    </cfRule>
  </conditionalFormatting>
  <conditionalFormatting sqref="D46">
    <cfRule type="expression" dxfId="61" priority="1" stopIfTrue="1">
      <formula>$P$34=""</formula>
    </cfRule>
    <cfRule type="expression" dxfId="60" priority="10" stopIfTrue="1">
      <formula>IF(AND(OR($D$28="Yes",$D$28=""),D46=""),1,0)</formula>
    </cfRule>
  </conditionalFormatting>
  <conditionalFormatting sqref="D47">
    <cfRule type="expression" dxfId="59" priority="2" stopIfTrue="1">
      <formula>$P$35=""</formula>
    </cfRule>
  </conditionalFormatting>
  <conditionalFormatting sqref="D44:E44">
    <cfRule type="expression" dxfId="58" priority="6" stopIfTrue="1">
      <formula>$P$26=""</formula>
    </cfRule>
    <cfRule type="expression" dxfId="57" priority="7" stopIfTrue="1">
      <formula>IF(AND(OR($D$26="Yes",$D$26=""),D44=""),1,0)</formula>
    </cfRule>
  </conditionalFormatting>
  <conditionalFormatting sqref="D45:E45">
    <cfRule type="expression" dxfId="56" priority="8" stopIfTrue="1">
      <formula>$P$39=""</formula>
    </cfRule>
    <cfRule type="expression" dxfId="55" priority="9" stopIfTrue="1">
      <formula>IF(AND(OR($D$27="Yes",$D$27=""),D45=""),1,0)</formula>
    </cfRule>
  </conditionalFormatting>
  <conditionalFormatting sqref="D47:E47">
    <cfRule type="expression" dxfId="54"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D16" r:id="rId3" xr:uid="{22DCB57D-FF74-409E-863B-212FC1D83CFA}"/>
    <hyperlink ref="D20" r:id="rId4" xr:uid="{BF0FC679-6FF2-4998-AE50-565D63C5FC2D}"/>
    <hyperlink ref="G77" r:id="rId5" xr:uid="{CA8A327D-FE07-41CC-847E-61AA071A8E1C}"/>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PageLayoutView="55" workbookViewId="0">
      <pane ySplit="4" topLeftCell="A26" activePane="bottomLeft" state="frozen"/>
      <selection pane="bottomLeft" activeCell="B8" sqref="B8"/>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39" t="str">
        <f ca="1">OFFSET(L!$C$1,MATCH("Smelter List"&amp;ADDRESS(ROW(),COLUMN(),4),L!$A:$A,0)-1,SL,,)</f>
        <v>Link to "RMAP Conformant Smelter List"</v>
      </c>
      <c r="K2" s="440"/>
      <c r="L2" s="440"/>
      <c r="M2" s="440"/>
      <c r="N2" s="440"/>
      <c r="O2" s="440"/>
      <c r="P2" s="234"/>
      <c r="Q2" s="235"/>
      <c r="R2" s="236"/>
      <c r="S2" s="236"/>
      <c r="T2" s="236"/>
      <c r="U2" s="267"/>
      <c r="V2" s="267"/>
      <c r="W2" s="268"/>
      <c r="X2" s="267"/>
      <c r="Y2" s="267"/>
      <c r="Z2" s="267"/>
      <c r="AH2" s="176" t="s">
        <v>498</v>
      </c>
    </row>
    <row r="3" spans="1:34" s="269" customFormat="1" ht="243.95" customHeight="1">
      <c r="A3" s="204"/>
      <c r="B3" s="44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1"/>
      <c r="D3" s="441"/>
      <c r="E3" s="441"/>
      <c r="F3" s="270"/>
      <c r="G3" s="442" t="str">
        <f ca="1">OFFSET(L!$C$1,MATCH("General"&amp;"Cpy",L!$A:$A,0)-1,SL,,)</f>
        <v>© 2020 Responsible Minerals Initiative. All rights reserved.</v>
      </c>
      <c r="H3" s="442"/>
      <c r="I3" s="443"/>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332"/>
      <c r="B5" s="217" t="s">
        <v>1153</v>
      </c>
      <c r="C5" s="221" t="s">
        <v>1249</v>
      </c>
      <c r="D5" s="283"/>
      <c r="E5" s="217" t="str">
        <f ca="1">IF(ISERROR($V5),"",OFFSET('Smelter Look-up'!$D$4,$V5-4,0)&amp;"")</f>
        <v>SWEDEN</v>
      </c>
      <c r="F5" s="217" t="str">
        <f ca="1">IF(ISERROR($V5),"",OFFSET('Smelter Look-up'!$E$4,$V5-4,0))</f>
        <v>CID000157</v>
      </c>
      <c r="G5" s="217" t="str">
        <f ca="1">IF(C5=$X$4,"Enter smelter details",IF(ISERROR($V5),"",OFFSET('Smelter Look-up'!$F$4,$V5-4,0)))</f>
        <v>RMI</v>
      </c>
      <c r="H5" s="218">
        <f ca="1">IF(ISERROR($V5),"",OFFSET('Smelter Look-up'!$G$4,$V5-4,0))</f>
        <v>0</v>
      </c>
      <c r="I5" s="219" t="str">
        <f ca="1">IF(ISERROR($V5),"",OFFSET('Smelter Look-up'!$H$4,$V5-4,0))</f>
        <v>Skelleftehamn</v>
      </c>
      <c r="J5" s="219" t="str">
        <f ca="1">IF(ISERROR($V5),"",OFFSET('Smelter Look-up'!$I$4,$V5-4,0))</f>
        <v>Västerbottens län [SE-24]</v>
      </c>
      <c r="K5" s="273"/>
      <c r="L5" s="273"/>
      <c r="M5" s="273"/>
      <c r="N5" s="273"/>
      <c r="O5" s="273"/>
      <c r="P5" s="220"/>
      <c r="Q5" s="274"/>
      <c r="R5" s="217" t="str">
        <f ca="1">IF(ISERROR($V5),"",OFFSET('Smelter Look-up'!$C$4,$V5-4,0)&amp;"")</f>
        <v>Boliden AB</v>
      </c>
      <c r="S5" s="225" t="str">
        <f t="shared" ref="S5" ca="1" si="0">IF(B5="","",IF(ISERROR(MATCH($E5,CL,0)),"Unknown",INDIRECT("'C'!$A$"&amp;MATCH($E5,CL,0)+1)))</f>
        <v>SE</v>
      </c>
      <c r="T5" s="225" t="str">
        <f ca="1">IF(B5="","",IF(ISERROR(MATCH($J5,SorP!$B$1:$B$6230,0)),"",INDIRECT("'SorP'!$A$"&amp;MATCH($J5,SorP!$B$1:$B$6230,0))))</f>
        <v>SE-AC</v>
      </c>
      <c r="U5" s="241"/>
      <c r="V5" s="275">
        <f>IF(C5="",NA(),MATCH($B5&amp;$C5,'Smelter Look-up'!$J:$J,0))</f>
        <v>37</v>
      </c>
      <c r="W5" s="276"/>
      <c r="X5" s="276">
        <f t="shared" ref="X5" ca="1" si="1">IF(AND(C5="Smelter not listed",OR(LEN(D5)=0,LEN(E5)=0)),1,0)</f>
        <v>0</v>
      </c>
      <c r="Y5" s="276"/>
      <c r="Z5" s="276"/>
      <c r="AB5" s="278" t="str">
        <f t="shared" ref="AB5" si="2">B5&amp;C5</f>
        <v>GoldBoliden AB</v>
      </c>
    </row>
    <row r="6" spans="1:34" s="277" customFormat="1" ht="20.100000000000001" customHeight="1">
      <c r="A6" s="332"/>
      <c r="B6" s="217" t="s">
        <v>1153</v>
      </c>
      <c r="C6" s="221" t="s">
        <v>2265</v>
      </c>
      <c r="D6" s="283"/>
      <c r="E6" s="217" t="str">
        <f ca="1">IF(ISERROR($V6),"",OFFSET('Smelter Look-up'!$D$4,$V6-4,0)&amp;"")</f>
        <v>CHINA</v>
      </c>
      <c r="F6" s="217" t="str">
        <f ca="1">IF(ISERROR($V6),"",OFFSET('Smelter Look-up'!$E$4,$V6-4,0))</f>
        <v>CID001622</v>
      </c>
      <c r="G6" s="217" t="str">
        <f ca="1">IF(C6=$X$4,"Enter smelter details",IF(ISERROR($V6),"",OFFSET('Smelter Look-up'!$F$4,$V6-4,0)))</f>
        <v>RMI</v>
      </c>
      <c r="H6" s="218">
        <f ca="1">IF(ISERROR($V6),"",OFFSET('Smelter Look-up'!$G$4,$V6-4,0))</f>
        <v>0</v>
      </c>
      <c r="I6" s="219" t="str">
        <f ca="1">IF(ISERROR($V6),"",OFFSET('Smelter Look-up'!$H$4,$V6-4,0))</f>
        <v>Zhaoyuan</v>
      </c>
      <c r="J6" s="219" t="str">
        <f ca="1">IF(ISERROR($V6),"",OFFSET('Smelter Look-up'!$I$4,$V6-4,0))</f>
        <v>Shandong Sheng</v>
      </c>
      <c r="K6" s="273"/>
      <c r="L6" s="273"/>
      <c r="M6" s="273"/>
      <c r="N6" s="273"/>
      <c r="O6" s="273"/>
      <c r="P6" s="220"/>
      <c r="Q6" s="274"/>
      <c r="R6" s="217" t="str">
        <f ca="1">IF(ISERROR($V6),"",OFFSET('Smelter Look-up'!$C$4,$V6-4,0)&amp;"")</f>
        <v>Shandong Zhaojin Gold &amp; Silver Refinery Co., Ltd.</v>
      </c>
      <c r="S6" s="225" t="str">
        <f t="shared" ref="S6:S37" ca="1" si="3">IF(B6="","",IF(ISERROR(MATCH($E6,CL,0)),"Unknown",INDIRECT("'C'!$A$"&amp;MATCH($E6,CL,0)+1)))</f>
        <v>CN</v>
      </c>
      <c r="T6" s="225" t="str">
        <f ca="1">IF(B6="","",IF(ISERROR(MATCH($J6,SorP!$B$1:$B$6230,0)),"",INDIRECT("'SorP'!$A$"&amp;MATCH($J6,SorP!$B$1:$B$6230,0))))</f>
        <v>CN-SD</v>
      </c>
      <c r="U6" s="241"/>
      <c r="V6" s="275">
        <f>IF(C6="",NA(),MATCH($B6&amp;$C6,'Smelter Look-up'!$J:$J,0))</f>
        <v>223</v>
      </c>
      <c r="W6" s="276"/>
      <c r="X6" s="276">
        <f t="shared" ref="X6:X37" ca="1" si="4">IF(AND(C6="Smelter not listed",OR(LEN(D6)=0,LEN(E6)=0)),1,0)</f>
        <v>0</v>
      </c>
      <c r="Y6" s="276"/>
      <c r="Z6" s="276"/>
      <c r="AB6" s="278" t="str">
        <f t="shared" ref="AB6:AB37" si="5">B6&amp;C6</f>
        <v>GoldShandong Zhaojin Gold &amp; Silver Refinery Co., Ltd.</v>
      </c>
    </row>
    <row r="7" spans="1:34" s="277" customFormat="1" ht="20.100000000000001" customHeight="1">
      <c r="A7" s="332"/>
      <c r="B7" s="217" t="s">
        <v>1153</v>
      </c>
      <c r="C7" s="221" t="s">
        <v>1190</v>
      </c>
      <c r="D7" s="283"/>
      <c r="E7" s="217" t="str">
        <f ca="1">IF(ISERROR($V7),"",OFFSET('Smelter Look-up'!$D$4,$V7-4,0)&amp;"")</f>
        <v>SWITZERLAND</v>
      </c>
      <c r="F7" s="217" t="str">
        <f ca="1">IF(ISERROR($V7),"",OFFSET('Smelter Look-up'!$E$4,$V7-4,0))</f>
        <v>CID001153</v>
      </c>
      <c r="G7" s="217" t="str">
        <f ca="1">IF(C7=$X$4,"Enter smelter details",IF(ISERROR($V7),"",OFFSET('Smelter Look-up'!$F$4,$V7-4,0)))</f>
        <v>RMI</v>
      </c>
      <c r="H7" s="218">
        <f ca="1">IF(ISERROR($V7),"",OFFSET('Smelter Look-up'!$G$4,$V7-4,0))</f>
        <v>0</v>
      </c>
      <c r="I7" s="219" t="str">
        <f ca="1">IF(ISERROR($V7),"",OFFSET('Smelter Look-up'!$H$4,$V7-4,0))</f>
        <v>Marin</v>
      </c>
      <c r="J7" s="219" t="str">
        <f ca="1">IF(ISERROR($V7),"",OFFSET('Smelter Look-up'!$I$4,$V7-4,0))</f>
        <v>Neuchâtel</v>
      </c>
      <c r="K7" s="273"/>
      <c r="L7" s="273"/>
      <c r="M7" s="273"/>
      <c r="N7" s="273"/>
      <c r="O7" s="273"/>
      <c r="P7" s="220"/>
      <c r="Q7" s="274"/>
      <c r="R7" s="217" t="str">
        <f ca="1">IF(ISERROR($V7),"",OFFSET('Smelter Look-up'!$C$4,$V7-4,0)&amp;"")</f>
        <v>Metalor Technologies S.A.</v>
      </c>
      <c r="S7" s="225" t="str">
        <f t="shared" ca="1" si="3"/>
        <v>CH</v>
      </c>
      <c r="T7" s="225" t="str">
        <f ca="1">IF(B7="","",IF(ISERROR(MATCH($J7,SorP!$B$1:$B$6230,0)),"",INDIRECT("'SorP'!$A$"&amp;MATCH($J7,SorP!$B$1:$B$6230,0))))</f>
        <v>CH-NE</v>
      </c>
      <c r="U7" s="241"/>
      <c r="V7" s="275">
        <f>IF(C7="",NA(),MATCH($B7&amp;$C7,'Smelter Look-up'!$J:$J,0))</f>
        <v>154</v>
      </c>
      <c r="W7" s="276"/>
      <c r="X7" s="276">
        <f t="shared" ca="1" si="4"/>
        <v>0</v>
      </c>
      <c r="Y7" s="276"/>
      <c r="Z7" s="276"/>
      <c r="AB7" s="278" t="str">
        <f t="shared" si="5"/>
        <v>GoldMetalor Switzerland</v>
      </c>
    </row>
    <row r="8" spans="1:34" s="277" customFormat="1" ht="20.100000000000001" customHeight="1">
      <c r="A8" s="332"/>
      <c r="B8" s="217" t="s">
        <v>1153</v>
      </c>
      <c r="C8" s="221" t="s">
        <v>1252</v>
      </c>
      <c r="D8" s="283"/>
      <c r="E8" s="217" t="str">
        <f ca="1">IF(ISERROR($V8),"",OFFSET('Smelter Look-up'!$D$4,$V8-4,0)&amp;"")</f>
        <v>UNITED STATES OF AMERICA</v>
      </c>
      <c r="F8" s="217" t="str">
        <f ca="1">IF(ISERROR($V8),"",OFFSET('Smelter Look-up'!$E$4,$V8-4,0))</f>
        <v>CID001157</v>
      </c>
      <c r="G8" s="217" t="str">
        <f ca="1">IF(C8=$X$4,"Enter smelter details",IF(ISERROR($V8),"",OFFSET('Smelter Look-up'!$F$4,$V8-4,0)))</f>
        <v>RMI</v>
      </c>
      <c r="H8" s="218">
        <f ca="1">IF(ISERROR($V8),"",OFFSET('Smelter Look-up'!$G$4,$V8-4,0))</f>
        <v>0</v>
      </c>
      <c r="I8" s="219" t="str">
        <f ca="1">IF(ISERROR($V8),"",OFFSET('Smelter Look-up'!$H$4,$V8-4,0))</f>
        <v>North Attleboro</v>
      </c>
      <c r="J8" s="219" t="str">
        <f ca="1">IF(ISERROR($V8),"",OFFSET('Smelter Look-up'!$I$4,$V8-4,0))</f>
        <v>Massachusetts</v>
      </c>
      <c r="K8" s="273"/>
      <c r="L8" s="273"/>
      <c r="M8" s="273"/>
      <c r="N8" s="273"/>
      <c r="O8" s="273"/>
      <c r="P8" s="220"/>
      <c r="Q8" s="274"/>
      <c r="R8" s="217" t="str">
        <f ca="1">IF(ISERROR($V8),"",OFFSET('Smelter Look-up'!$C$4,$V8-4,0)&amp;"")</f>
        <v>Metalor USA Refining Corporation</v>
      </c>
      <c r="S8" s="225" t="str">
        <f t="shared" ca="1" si="3"/>
        <v>US</v>
      </c>
      <c r="T8" s="225" t="str">
        <f ca="1">IF(B8="","",IF(ISERROR(MATCH($J8,SorP!$B$1:$B$6230,0)),"",INDIRECT("'SorP'!$A$"&amp;MATCH($J8,SorP!$B$1:$B$6230,0))))</f>
        <v>US-MA</v>
      </c>
      <c r="U8" s="241"/>
      <c r="V8" s="275">
        <f>IF(C8="",NA(),MATCH($B8&amp;$C8,'Smelter Look-up'!$J:$J,0))</f>
        <v>159</v>
      </c>
      <c r="W8" s="276"/>
      <c r="X8" s="276">
        <f t="shared" ca="1" si="4"/>
        <v>0</v>
      </c>
      <c r="Y8" s="276"/>
      <c r="Z8" s="276"/>
      <c r="AB8" s="278" t="str">
        <f t="shared" si="5"/>
        <v>GoldMetalor USA Refining Corporation</v>
      </c>
    </row>
    <row r="9" spans="1:34" s="277" customFormat="1" ht="20.100000000000001" customHeight="1">
      <c r="A9" s="332"/>
      <c r="B9" s="217" t="s">
        <v>1153</v>
      </c>
      <c r="C9" s="221" t="s">
        <v>2458</v>
      </c>
      <c r="D9" s="283"/>
      <c r="E9" s="217" t="str">
        <f ca="1">IF(ISERROR($V9),"",OFFSET('Smelter Look-up'!$D$4,$V9-4,0)&amp;"")</f>
        <v>BELGIUM</v>
      </c>
      <c r="F9" s="217" t="str">
        <f ca="1">IF(ISERROR($V9),"",OFFSET('Smelter Look-up'!$E$4,$V9-4,0))</f>
        <v>CID001980</v>
      </c>
      <c r="G9" s="217" t="str">
        <f ca="1">IF(C9=$X$4,"Enter smelter details",IF(ISERROR($V9),"",OFFSET('Smelter Look-up'!$F$4,$V9-4,0)))</f>
        <v>RMI</v>
      </c>
      <c r="H9" s="218">
        <f ca="1">IF(ISERROR($V9),"",OFFSET('Smelter Look-up'!$G$4,$V9-4,0))</f>
        <v>0</v>
      </c>
      <c r="I9" s="219" t="str">
        <f ca="1">IF(ISERROR($V9),"",OFFSET('Smelter Look-up'!$H$4,$V9-4,0))</f>
        <v>Hoboken</v>
      </c>
      <c r="J9" s="219" t="str">
        <f ca="1">IF(ISERROR($V9),"",OFFSET('Smelter Look-up'!$I$4,$V9-4,0))</f>
        <v>Antwerpen</v>
      </c>
      <c r="K9" s="273"/>
      <c r="L9" s="273"/>
      <c r="M9" s="273"/>
      <c r="N9" s="273"/>
      <c r="O9" s="273"/>
      <c r="P9" s="220"/>
      <c r="Q9" s="274"/>
      <c r="R9" s="217" t="str">
        <f ca="1">IF(ISERROR($V9),"",OFFSET('Smelter Look-up'!$C$4,$V9-4,0)&amp;"")</f>
        <v>Umicore S.A. Business Unit Precious Metals Refining</v>
      </c>
      <c r="S9" s="225" t="str">
        <f t="shared" ca="1" si="3"/>
        <v>BE</v>
      </c>
      <c r="T9" s="225" t="str">
        <f ca="1">IF(B9="","",IF(ISERROR(MATCH($J9,SorP!$B$1:$B$6230,0)),"",INDIRECT("'SorP'!$A$"&amp;MATCH($J9,SorP!$B$1:$B$6230,0))))</f>
        <v>BE-VAN</v>
      </c>
      <c r="U9" s="241"/>
      <c r="V9" s="275">
        <f>IF(C9="",NA(),MATCH($B9&amp;$C9,'Smelter Look-up'!$J:$J,0))</f>
        <v>267</v>
      </c>
      <c r="W9" s="276"/>
      <c r="X9" s="276">
        <f t="shared" ca="1" si="4"/>
        <v>0</v>
      </c>
      <c r="Y9" s="276"/>
      <c r="Z9" s="276"/>
      <c r="AB9" s="278" t="str">
        <f t="shared" si="5"/>
        <v>GoldUmicore S.A. Business Unit Precious Metals Refining</v>
      </c>
    </row>
    <row r="10" spans="1:34" s="277" customFormat="1" ht="20.100000000000001" customHeight="1">
      <c r="A10" s="332"/>
      <c r="B10" s="217" t="s">
        <v>1153</v>
      </c>
      <c r="C10" s="221" t="s">
        <v>54</v>
      </c>
      <c r="D10" s="283"/>
      <c r="E10" s="217" t="str">
        <f ca="1">IF(ISERROR($V10),"",OFFSET('Smelter Look-up'!$D$4,$V10-4,0)&amp;"")</f>
        <v>GERMANY</v>
      </c>
      <c r="F10" s="217" t="str">
        <f ca="1">IF(ISERROR($V10),"",OFFSET('Smelter Look-up'!$E$4,$V10-4,0))</f>
        <v>CID000035</v>
      </c>
      <c r="G10" s="217" t="str">
        <f ca="1">IF(C10=$X$4,"Enter smelter details",IF(ISERROR($V10),"",OFFSET('Smelter Look-up'!$F$4,$V10-4,0)))</f>
        <v>RMI</v>
      </c>
      <c r="H10" s="218">
        <f ca="1">IF(ISERROR($V10),"",OFFSET('Smelter Look-up'!$G$4,$V10-4,0))</f>
        <v>0</v>
      </c>
      <c r="I10" s="219" t="str">
        <f ca="1">IF(ISERROR($V10),"",OFFSET('Smelter Look-up'!$H$4,$V10-4,0))</f>
        <v>Pforzheim</v>
      </c>
      <c r="J10" s="219" t="str">
        <f ca="1">IF(ISERROR($V10),"",OFFSET('Smelter Look-up'!$I$4,$V10-4,0))</f>
        <v>Baden-Württemberg</v>
      </c>
      <c r="K10" s="273"/>
      <c r="L10" s="273"/>
      <c r="M10" s="273"/>
      <c r="N10" s="273"/>
      <c r="O10" s="273"/>
      <c r="P10" s="220"/>
      <c r="Q10" s="274"/>
      <c r="R10" s="217" t="str">
        <f ca="1">IF(ISERROR($V10),"",OFFSET('Smelter Look-up'!$C$4,$V10-4,0)&amp;"")</f>
        <v>Allgemeine Gold-und Silberscheideanstalt A.G.</v>
      </c>
      <c r="S10" s="225" t="str">
        <f t="shared" ca="1" si="3"/>
        <v>DE</v>
      </c>
      <c r="T10" s="225" t="str">
        <f ca="1">IF(B10="","",IF(ISERROR(MATCH($J10,SorP!$B$1:$B$6230,0)),"",INDIRECT("'SorP'!$A$"&amp;MATCH($J10,SorP!$B$1:$B$6230,0))))</f>
        <v>DE-BW</v>
      </c>
      <c r="U10" s="241"/>
      <c r="V10" s="275">
        <f>IF(C10="",NA(),MATCH($B10&amp;$C10,'Smelter Look-up'!$J:$J,0))</f>
        <v>14</v>
      </c>
      <c r="W10" s="276"/>
      <c r="X10" s="276">
        <f t="shared" ca="1" si="4"/>
        <v>0</v>
      </c>
      <c r="Y10" s="276"/>
      <c r="Z10" s="276"/>
      <c r="AB10" s="278" t="str">
        <f t="shared" si="5"/>
        <v>GoldAllgemeine Gold-und Silberscheideanstalt A.G.</v>
      </c>
    </row>
    <row r="11" spans="1:34" s="277" customFormat="1" ht="20.100000000000001" customHeight="1">
      <c r="A11" s="332"/>
      <c r="B11" s="217" t="s">
        <v>1153</v>
      </c>
      <c r="C11" s="221" t="s">
        <v>936</v>
      </c>
      <c r="D11" s="283"/>
      <c r="E11" s="217" t="str">
        <f ca="1">IF(ISERROR($V11),"",OFFSET('Smelter Look-up'!$D$4,$V11-4,0)&amp;"")</f>
        <v>CANADA</v>
      </c>
      <c r="F11" s="217" t="str">
        <f ca="1">IF(ISERROR($V11),"",OFFSET('Smelter Look-up'!$E$4,$V11-4,0))</f>
        <v>CID001534</v>
      </c>
      <c r="G11" s="217" t="str">
        <f ca="1">IF(C11=$X$4,"Enter smelter details",IF(ISERROR($V11),"",OFFSET('Smelter Look-up'!$F$4,$V11-4,0)))</f>
        <v>RMI</v>
      </c>
      <c r="H11" s="218">
        <f ca="1">IF(ISERROR($V11),"",OFFSET('Smelter Look-up'!$G$4,$V11-4,0))</f>
        <v>0</v>
      </c>
      <c r="I11" s="219" t="str">
        <f ca="1">IF(ISERROR($V11),"",OFFSET('Smelter Look-up'!$H$4,$V11-4,0))</f>
        <v>Ottawa</v>
      </c>
      <c r="J11" s="219" t="str">
        <f ca="1">IF(ISERROR($V11),"",OFFSET('Smelter Look-up'!$I$4,$V11-4,0))</f>
        <v>Ontario</v>
      </c>
      <c r="K11" s="273"/>
      <c r="L11" s="273"/>
      <c r="M11" s="273"/>
      <c r="N11" s="273"/>
      <c r="O11" s="273"/>
      <c r="P11" s="220"/>
      <c r="Q11" s="274"/>
      <c r="R11" s="217" t="str">
        <f ca="1">IF(ISERROR($V11),"",OFFSET('Smelter Look-up'!$C$4,$V11-4,0)&amp;"")</f>
        <v>Royal Canadian Mint</v>
      </c>
      <c r="S11" s="225" t="str">
        <f t="shared" ca="1" si="3"/>
        <v>CA</v>
      </c>
      <c r="T11" s="225" t="str">
        <f ca="1">IF(B11="","",IF(ISERROR(MATCH($J11,SorP!$B$1:$B$6230,0)),"",INDIRECT("'SorP'!$A$"&amp;MATCH($J11,SorP!$B$1:$B$6230,0))))</f>
        <v>CA-ON</v>
      </c>
      <c r="U11" s="241"/>
      <c r="V11" s="275">
        <f>IF(C11="",NA(),MATCH($B11&amp;$C11,'Smelter Look-up'!$J:$J,0))</f>
        <v>202</v>
      </c>
      <c r="W11" s="276"/>
      <c r="X11" s="276">
        <f t="shared" ca="1" si="4"/>
        <v>0</v>
      </c>
      <c r="Y11" s="276"/>
      <c r="Z11" s="276"/>
      <c r="AB11" s="278" t="str">
        <f t="shared" si="5"/>
        <v>GoldRoyal Canadian Mint</v>
      </c>
    </row>
    <row r="12" spans="1:34" s="277" customFormat="1" ht="20.100000000000001" customHeight="1">
      <c r="A12" s="332"/>
      <c r="B12" s="217" t="s">
        <v>1153</v>
      </c>
      <c r="C12" s="221" t="s">
        <v>1631</v>
      </c>
      <c r="D12" s="283"/>
      <c r="E12" s="217" t="str">
        <f ca="1">IF(ISERROR($V12),"",OFFSET('Smelter Look-up'!$D$4,$V12-4,0)&amp;"")</f>
        <v>UNITED STATES OF AMERICA</v>
      </c>
      <c r="F12" s="217" t="str">
        <f ca="1">IF(ISERROR($V12),"",OFFSET('Smelter Look-up'!$E$4,$V12-4,0))</f>
        <v>CID000920</v>
      </c>
      <c r="G12" s="217" t="str">
        <f ca="1">IF(C12=$X$4,"Enter smelter details",IF(ISERROR($V12),"",OFFSET('Smelter Look-up'!$F$4,$V12-4,0)))</f>
        <v>RMI</v>
      </c>
      <c r="H12" s="218">
        <f ca="1">IF(ISERROR($V12),"",OFFSET('Smelter Look-up'!$G$4,$V12-4,0))</f>
        <v>0</v>
      </c>
      <c r="I12" s="219" t="str">
        <f ca="1">IF(ISERROR($V12),"",OFFSET('Smelter Look-up'!$H$4,$V12-4,0))</f>
        <v>Salt Lake City</v>
      </c>
      <c r="J12" s="219" t="str">
        <f ca="1">IF(ISERROR($V12),"",OFFSET('Smelter Look-up'!$I$4,$V12-4,0))</f>
        <v>Utah</v>
      </c>
      <c r="K12" s="273"/>
      <c r="L12" s="273"/>
      <c r="M12" s="273"/>
      <c r="N12" s="273"/>
      <c r="O12" s="273"/>
      <c r="P12" s="220"/>
      <c r="Q12" s="274"/>
      <c r="R12" s="217" t="str">
        <f ca="1">IF(ISERROR($V12),"",OFFSET('Smelter Look-up'!$C$4,$V12-4,0)&amp;"")</f>
        <v>Asahi Refining USA Inc.</v>
      </c>
      <c r="S12" s="225" t="str">
        <f t="shared" ca="1" si="3"/>
        <v>US</v>
      </c>
      <c r="T12" s="225" t="str">
        <f ca="1">IF(B12="","",IF(ISERROR(MATCH($J12,SorP!$B$1:$B$6230,0)),"",INDIRECT("'SorP'!$A$"&amp;MATCH($J12,SorP!$B$1:$B$6230,0))))</f>
        <v>US-UT</v>
      </c>
      <c r="U12" s="241"/>
      <c r="V12" s="275">
        <f>IF(C12="",NA(),MATCH($B12&amp;$C12,'Smelter Look-up'!$J:$J,0))</f>
        <v>116</v>
      </c>
      <c r="W12" s="276"/>
      <c r="X12" s="276">
        <f t="shared" ca="1" si="4"/>
        <v>0</v>
      </c>
      <c r="Y12" s="276"/>
      <c r="Z12" s="276"/>
      <c r="AB12" s="278" t="str">
        <f t="shared" si="5"/>
        <v>GoldJohnson Matthey Inc. (USA)</v>
      </c>
    </row>
    <row r="13" spans="1:34" s="277" customFormat="1" ht="20.100000000000001" customHeight="1">
      <c r="A13" s="332"/>
      <c r="B13" s="217" t="s">
        <v>1153</v>
      </c>
      <c r="C13" s="221" t="s">
        <v>843</v>
      </c>
      <c r="D13" s="283"/>
      <c r="E13" s="217" t="str">
        <f ca="1">IF(ISERROR($V13),"",OFFSET('Smelter Look-up'!$D$4,$V13-4,0)&amp;"")</f>
        <v>UNITED STATES OF AMERICA</v>
      </c>
      <c r="F13" s="217" t="str">
        <f ca="1">IF(ISERROR($V13),"",OFFSET('Smelter Look-up'!$E$4,$V13-4,0))</f>
        <v>CID001993</v>
      </c>
      <c r="G13" s="217" t="str">
        <f ca="1">IF(C13=$X$4,"Enter smelter details",IF(ISERROR($V13),"",OFFSET('Smelter Look-up'!$F$4,$V13-4,0)))</f>
        <v>RMI</v>
      </c>
      <c r="H13" s="218">
        <f ca="1">IF(ISERROR($V13),"",OFFSET('Smelter Look-up'!$G$4,$V13-4,0))</f>
        <v>0</v>
      </c>
      <c r="I13" s="219" t="str">
        <f ca="1">IF(ISERROR($V13),"",OFFSET('Smelter Look-up'!$H$4,$V13-4,0))</f>
        <v>Alden</v>
      </c>
      <c r="J13" s="219" t="str">
        <f ca="1">IF(ISERROR($V13),"",OFFSET('Smelter Look-up'!$I$4,$V13-4,0))</f>
        <v>New York</v>
      </c>
      <c r="K13" s="273"/>
      <c r="L13" s="273"/>
      <c r="M13" s="273"/>
      <c r="N13" s="273"/>
      <c r="O13" s="273"/>
      <c r="P13" s="220"/>
      <c r="Q13" s="274"/>
      <c r="R13" s="217" t="str">
        <f ca="1">IF(ISERROR($V13),"",OFFSET('Smelter Look-up'!$C$4,$V13-4,0)&amp;"")</f>
        <v>United Precious Metal Refining, Inc.</v>
      </c>
      <c r="S13" s="225" t="str">
        <f t="shared" ca="1" si="3"/>
        <v>US</v>
      </c>
      <c r="T13" s="225" t="str">
        <f ca="1">IF(B13="","",IF(ISERROR(MATCH($J13,SorP!$B$1:$B$6230,0)),"",INDIRECT("'SorP'!$A$"&amp;MATCH($J13,SorP!$B$1:$B$6230,0))))</f>
        <v>US-NY</v>
      </c>
      <c r="U13" s="241"/>
      <c r="V13" s="275">
        <f>IF(C13="",NA(),MATCH($B13&amp;$C13,'Smelter Look-up'!$J:$J,0))</f>
        <v>268</v>
      </c>
      <c r="W13" s="276"/>
      <c r="X13" s="276">
        <f t="shared" ca="1" si="4"/>
        <v>0</v>
      </c>
      <c r="Y13" s="276"/>
      <c r="Z13" s="276"/>
      <c r="AB13" s="278" t="str">
        <f t="shared" si="5"/>
        <v>GoldUnited Precious Metal Refining, Inc.</v>
      </c>
    </row>
    <row r="14" spans="1:34" s="277" customFormat="1" ht="20.100000000000001" customHeight="1">
      <c r="A14" s="332"/>
      <c r="B14" s="217" t="s">
        <v>1153</v>
      </c>
      <c r="C14" s="221" t="s">
        <v>2352</v>
      </c>
      <c r="D14" s="283"/>
      <c r="E14" s="217" t="str">
        <f ca="1">IF(ISERROR($V14),"",OFFSET('Smelter Look-up'!$D$4,$V14-4,0)&amp;"")</f>
        <v>CANADA</v>
      </c>
      <c r="F14" s="217" t="str">
        <f ca="1">IF(ISERROR($V14),"",OFFSET('Smelter Look-up'!$E$4,$V14-4,0))</f>
        <v>CID000185</v>
      </c>
      <c r="G14" s="217" t="str">
        <f ca="1">IF(C14=$X$4,"Enter smelter details",IF(ISERROR($V14),"",OFFSET('Smelter Look-up'!$F$4,$V14-4,0)))</f>
        <v>RMI</v>
      </c>
      <c r="H14" s="218">
        <f ca="1">IF(ISERROR($V14),"",OFFSET('Smelter Look-up'!$G$4,$V14-4,0))</f>
        <v>0</v>
      </c>
      <c r="I14" s="219" t="str">
        <f ca="1">IF(ISERROR($V14),"",OFFSET('Smelter Look-up'!$H$4,$V14-4,0))</f>
        <v>Montréal</v>
      </c>
      <c r="J14" s="219" t="str">
        <f ca="1">IF(ISERROR($V14),"",OFFSET('Smelter Look-up'!$I$4,$V14-4,0))</f>
        <v>Quebec</v>
      </c>
      <c r="K14" s="273"/>
      <c r="L14" s="273"/>
      <c r="M14" s="273"/>
      <c r="N14" s="273"/>
      <c r="O14" s="273"/>
      <c r="P14" s="220"/>
      <c r="Q14" s="274"/>
      <c r="R14" s="217" t="str">
        <f ca="1">IF(ISERROR($V14),"",OFFSET('Smelter Look-up'!$C$4,$V14-4,0)&amp;"")</f>
        <v>CCR Refinery - Glencore Canada Corporation</v>
      </c>
      <c r="S14" s="225" t="str">
        <f t="shared" ca="1" si="3"/>
        <v>CA</v>
      </c>
      <c r="T14" s="225" t="str">
        <f ca="1">IF(B14="","",IF(ISERROR(MATCH($J14,SorP!$B$1:$B$6230,0)),"",INDIRECT("'SorP'!$A$"&amp;MATCH($J14,SorP!$B$1:$B$6230,0))))</f>
        <v>CA-QC</v>
      </c>
      <c r="U14" s="241"/>
      <c r="V14" s="275">
        <f>IF(C14="",NA(),MATCH($B14&amp;$C14,'Smelter Look-up'!$J:$J,0))</f>
        <v>43</v>
      </c>
      <c r="W14" s="276"/>
      <c r="X14" s="276">
        <f t="shared" ca="1" si="4"/>
        <v>0</v>
      </c>
      <c r="Y14" s="276"/>
      <c r="Z14" s="276"/>
      <c r="AB14" s="278" t="str">
        <f t="shared" si="5"/>
        <v>GoldCCR Refinery - Glencore Canada Corporation</v>
      </c>
    </row>
    <row r="15" spans="1:34" s="277" customFormat="1" ht="20.100000000000001" customHeight="1">
      <c r="A15" s="332"/>
      <c r="B15" s="217" t="s">
        <v>1153</v>
      </c>
      <c r="C15" s="221" t="s">
        <v>2433</v>
      </c>
      <c r="D15" s="283"/>
      <c r="E15" s="217" t="str">
        <f ca="1">IF(ISERROR($V15),"",OFFSET('Smelter Look-up'!$D$4,$V15-4,0)&amp;"")</f>
        <v>MEXICO</v>
      </c>
      <c r="F15" s="217" t="str">
        <f ca="1">IF(ISERROR($V15),"",OFFSET('Smelter Look-up'!$E$4,$V15-4,0))</f>
        <v>CID001161</v>
      </c>
      <c r="G15" s="217" t="str">
        <f ca="1">IF(C15=$X$4,"Enter smelter details",IF(ISERROR($V15),"",OFFSET('Smelter Look-up'!$F$4,$V15-4,0)))</f>
        <v>RMI</v>
      </c>
      <c r="H15" s="218">
        <f ca="1">IF(ISERROR($V15),"",OFFSET('Smelter Look-up'!$G$4,$V15-4,0))</f>
        <v>0</v>
      </c>
      <c r="I15" s="219" t="str">
        <f ca="1">IF(ISERROR($V15),"",OFFSET('Smelter Look-up'!$H$4,$V15-4,0))</f>
        <v>Torreon</v>
      </c>
      <c r="J15" s="219" t="str">
        <f ca="1">IF(ISERROR($V15),"",OFFSET('Smelter Look-up'!$I$4,$V15-4,0))</f>
        <v>Coahuila de Zaragoza</v>
      </c>
      <c r="K15" s="273"/>
      <c r="L15" s="273"/>
      <c r="M15" s="273"/>
      <c r="N15" s="273"/>
      <c r="O15" s="273"/>
      <c r="P15" s="220"/>
      <c r="Q15" s="274"/>
      <c r="R15" s="217" t="str">
        <f ca="1">IF(ISERROR($V15),"",OFFSET('Smelter Look-up'!$C$4,$V15-4,0)&amp;"")</f>
        <v>Metalurgica Met-Mex Penoles S.A. De C.V.</v>
      </c>
      <c r="S15" s="225" t="str">
        <f t="shared" ca="1" si="3"/>
        <v>MX</v>
      </c>
      <c r="T15" s="225" t="str">
        <f ca="1">IF(B15="","",IF(ISERROR(MATCH($J15,SorP!$B$1:$B$6230,0)),"",INDIRECT("'SorP'!$A$"&amp;MATCH($J15,SorP!$B$1:$B$6230,0))))</f>
        <v>MX-COA</v>
      </c>
      <c r="U15" s="241"/>
      <c r="V15" s="275">
        <f>IF(C15="",NA(),MATCH($B15&amp;$C15,'Smelter Look-up'!$J:$J,0))</f>
        <v>161</v>
      </c>
      <c r="W15" s="276"/>
      <c r="X15" s="276">
        <f t="shared" ca="1" si="4"/>
        <v>0</v>
      </c>
      <c r="Y15" s="276"/>
      <c r="Z15" s="276"/>
      <c r="AB15" s="278" t="str">
        <f t="shared" si="5"/>
        <v>GoldMetalúrgica Met-Mex Peñoles S.A. De C.V.</v>
      </c>
    </row>
    <row r="16" spans="1:34" s="277" customFormat="1" ht="20.100000000000001" customHeight="1">
      <c r="A16" s="332"/>
      <c r="B16" s="217" t="s">
        <v>1153</v>
      </c>
      <c r="C16" s="221" t="s">
        <v>1250</v>
      </c>
      <c r="D16" s="283"/>
      <c r="E16" s="217" t="str">
        <f ca="1">IF(ISERROR($V16),"",OFFSET('Smelter Look-up'!$D$4,$V16-4,0)&amp;"")</f>
        <v>GERMANY</v>
      </c>
      <c r="F16" s="217" t="str">
        <f ca="1">IF(ISERROR($V16),"",OFFSET('Smelter Look-up'!$E$4,$V16-4,0))</f>
        <v>CID000711</v>
      </c>
      <c r="G16" s="217" t="str">
        <f ca="1">IF(C16=$X$4,"Enter smelter details",IF(ISERROR($V16),"",OFFSET('Smelter Look-up'!$F$4,$V16-4,0)))</f>
        <v>RMI</v>
      </c>
      <c r="H16" s="218">
        <f ca="1">IF(ISERROR($V16),"",OFFSET('Smelter Look-up'!$G$4,$V16-4,0))</f>
        <v>0</v>
      </c>
      <c r="I16" s="219" t="str">
        <f ca="1">IF(ISERROR($V16),"",OFFSET('Smelter Look-up'!$H$4,$V16-4,0))</f>
        <v>Hanau</v>
      </c>
      <c r="J16" s="219" t="str">
        <f ca="1">IF(ISERROR($V16),"",OFFSET('Smelter Look-up'!$I$4,$V16-4,0))</f>
        <v>Hessen</v>
      </c>
      <c r="K16" s="273"/>
      <c r="L16" s="273"/>
      <c r="M16" s="273"/>
      <c r="N16" s="273"/>
      <c r="O16" s="273"/>
      <c r="P16" s="220"/>
      <c r="Q16" s="274"/>
      <c r="R16" s="217" t="str">
        <f ca="1">IF(ISERROR($V16),"",OFFSET('Smelter Look-up'!$C$4,$V16-4,0)&amp;"")</f>
        <v>Heraeus Precious Metals GmbH &amp; Co. KG</v>
      </c>
      <c r="S16" s="225" t="str">
        <f t="shared" ca="1" si="3"/>
        <v>DE</v>
      </c>
      <c r="T16" s="225" t="str">
        <f ca="1">IF(B16="","",IF(ISERROR(MATCH($J16,SorP!$B$1:$B$6230,0)),"",INDIRECT("'SorP'!$A$"&amp;MATCH($J16,SorP!$B$1:$B$6230,0))))</f>
        <v>DE-HE</v>
      </c>
      <c r="U16" s="241"/>
      <c r="V16" s="275">
        <f>IF(C16="",NA(),MATCH($B16&amp;$C16,'Smelter Look-up'!$J:$J,0))</f>
        <v>98</v>
      </c>
      <c r="W16" s="276"/>
      <c r="X16" s="276">
        <f t="shared" ca="1" si="4"/>
        <v>0</v>
      </c>
      <c r="Y16" s="276"/>
      <c r="Z16" s="276"/>
      <c r="AB16" s="278" t="str">
        <f t="shared" si="5"/>
        <v>GoldHeraeus Precious Metals GmbH &amp; Co. KG</v>
      </c>
    </row>
    <row r="17" spans="1:28" s="277" customFormat="1" ht="20.100000000000001" customHeight="1">
      <c r="A17" s="332"/>
      <c r="B17" s="217" t="s">
        <v>1153</v>
      </c>
      <c r="C17" s="221" t="s">
        <v>710</v>
      </c>
      <c r="D17" s="283"/>
      <c r="E17" s="217" t="str">
        <f ca="1">IF(ISERROR($V17),"",OFFSET('Smelter Look-up'!$D$4,$V17-4,0)&amp;"")</f>
        <v>UNITED STATES OF AMERICA</v>
      </c>
      <c r="F17" s="217" t="str">
        <f ca="1">IF(ISERROR($V17),"",OFFSET('Smelter Look-up'!$E$4,$V17-4,0))</f>
        <v>CID000969</v>
      </c>
      <c r="G17" s="217" t="str">
        <f ca="1">IF(C17=$X$4,"Enter smelter details",IF(ISERROR($V17),"",OFFSET('Smelter Look-up'!$F$4,$V17-4,0)))</f>
        <v>RMI</v>
      </c>
      <c r="H17" s="218">
        <f ca="1">IF(ISERROR($V17),"",OFFSET('Smelter Look-up'!$G$4,$V17-4,0))</f>
        <v>0</v>
      </c>
      <c r="I17" s="219" t="str">
        <f ca="1">IF(ISERROR($V17),"",OFFSET('Smelter Look-up'!$H$4,$V17-4,0))</f>
        <v>Magna</v>
      </c>
      <c r="J17" s="219" t="str">
        <f ca="1">IF(ISERROR($V17),"",OFFSET('Smelter Look-up'!$I$4,$V17-4,0))</f>
        <v>Utah</v>
      </c>
      <c r="K17" s="273"/>
      <c r="L17" s="273"/>
      <c r="M17" s="273"/>
      <c r="N17" s="273"/>
      <c r="O17" s="273"/>
      <c r="P17" s="220"/>
      <c r="Q17" s="274"/>
      <c r="R17" s="217" t="str">
        <f ca="1">IF(ISERROR($V17),"",OFFSET('Smelter Look-up'!$C$4,$V17-4,0)&amp;"")</f>
        <v>Kennecott Utah Copper LLC</v>
      </c>
      <c r="S17" s="225" t="str">
        <f t="shared" ca="1" si="3"/>
        <v>US</v>
      </c>
      <c r="T17" s="225" t="str">
        <f ca="1">IF(B17="","",IF(ISERROR(MATCH($J17,SorP!$B$1:$B$6230,0)),"",INDIRECT("'SorP'!$A$"&amp;MATCH($J17,SorP!$B$1:$B$6230,0))))</f>
        <v>US-UT</v>
      </c>
      <c r="U17" s="241"/>
      <c r="V17" s="275">
        <f>IF(C17="",NA(),MATCH($B17&amp;$C17,'Smelter Look-up'!$J:$J,0))</f>
        <v>124</v>
      </c>
      <c r="W17" s="276"/>
      <c r="X17" s="276">
        <f t="shared" ca="1" si="4"/>
        <v>0</v>
      </c>
      <c r="Y17" s="276"/>
      <c r="Z17" s="276"/>
      <c r="AB17" s="278" t="str">
        <f t="shared" si="5"/>
        <v>GoldKennecott Utah Copper LLC</v>
      </c>
    </row>
    <row r="18" spans="1:28" s="277" customFormat="1" ht="20.100000000000001" customHeight="1">
      <c r="A18" s="216"/>
      <c r="B18" s="217" t="s">
        <v>1153</v>
      </c>
      <c r="C18" s="221" t="s">
        <v>2411</v>
      </c>
      <c r="D18" s="283"/>
      <c r="E18" s="217" t="str">
        <f ca="1">IF(ISERROR($V18),"",OFFSET('Smelter Look-up'!$D$4,$V18-4,0)&amp;"")</f>
        <v>CANADA</v>
      </c>
      <c r="F18" s="217" t="str">
        <f ca="1">IF(ISERROR($V18),"",OFFSET('Smelter Look-up'!$E$4,$V18-4,0))</f>
        <v>CID000924</v>
      </c>
      <c r="G18" s="217" t="str">
        <f ca="1">IF(C18=$X$4,"Enter smelter details",IF(ISERROR($V18),"",OFFSET('Smelter Look-up'!$F$4,$V18-4,0)))</f>
        <v>RMI</v>
      </c>
      <c r="H18" s="218">
        <f ca="1">IF(ISERROR($V18),"",OFFSET('Smelter Look-up'!$G$4,$V18-4,0))</f>
        <v>0</v>
      </c>
      <c r="I18" s="219" t="str">
        <f ca="1">IF(ISERROR($V18),"",OFFSET('Smelter Look-up'!$H$4,$V18-4,0))</f>
        <v>Brampton</v>
      </c>
      <c r="J18" s="219" t="str">
        <f ca="1">IF(ISERROR($V18),"",OFFSET('Smelter Look-up'!$I$4,$V18-4,0))</f>
        <v>Ontario</v>
      </c>
      <c r="K18" s="273"/>
      <c r="L18" s="273"/>
      <c r="M18" s="273"/>
      <c r="N18" s="273"/>
      <c r="O18" s="273"/>
      <c r="P18" s="220"/>
      <c r="Q18" s="274"/>
      <c r="R18" s="217" t="str">
        <f ca="1">IF(ISERROR($V18),"",OFFSET('Smelter Look-up'!$C$4,$V18-4,0)&amp;"")</f>
        <v>Asahi Refining Canada Ltd.</v>
      </c>
      <c r="S18" s="225" t="str">
        <f t="shared" ca="1" si="3"/>
        <v>CA</v>
      </c>
      <c r="T18" s="225" t="str">
        <f ca="1">IF(B18="","",IF(ISERROR(MATCH($J18,SorP!$B$1:$B$6230,0)),"",INDIRECT("'SorP'!$A$"&amp;MATCH($J18,SorP!$B$1:$B$6230,0))))</f>
        <v>CA-ON</v>
      </c>
      <c r="U18" s="241"/>
      <c r="V18" s="275">
        <f>IF(C18="",NA(),MATCH($B18&amp;$C18,'Smelter Look-up'!$J:$J,0))</f>
        <v>25</v>
      </c>
      <c r="W18" s="276"/>
      <c r="X18" s="276">
        <f t="shared" ca="1" si="4"/>
        <v>0</v>
      </c>
      <c r="Y18" s="276"/>
      <c r="Z18" s="276"/>
      <c r="AB18" s="278" t="str">
        <f t="shared" si="5"/>
        <v>GoldAsahi Refining Canada Ltd.</v>
      </c>
    </row>
    <row r="19" spans="1:28" s="277" customFormat="1" ht="51">
      <c r="A19" s="216"/>
      <c r="B19" s="217" t="s">
        <v>1153</v>
      </c>
      <c r="C19" s="221" t="s">
        <v>2270</v>
      </c>
      <c r="D19" s="283"/>
      <c r="E19" s="217" t="str">
        <f ca="1">IF(ISERROR($V19),"",OFFSET('Smelter Look-up'!$D$4,$V19-4,0)&amp;"")</f>
        <v>BRAZIL</v>
      </c>
      <c r="F19" s="217" t="str">
        <f ca="1">IF(ISERROR($V19),"",OFFSET('Smelter Look-up'!$E$4,$V19-4,0))</f>
        <v>CID001977</v>
      </c>
      <c r="G19" s="217" t="str">
        <f ca="1">IF(C19=$X$4,"Enter smelter details",IF(ISERROR($V19),"",OFFSET('Smelter Look-up'!$F$4,$V19-4,0)))</f>
        <v>RMI</v>
      </c>
      <c r="H19" s="218">
        <f ca="1">IF(ISERROR($V19),"",OFFSET('Smelter Look-up'!$G$4,$V19-4,0))</f>
        <v>0</v>
      </c>
      <c r="I19" s="219" t="str">
        <f ca="1">IF(ISERROR($V19),"",OFFSET('Smelter Look-up'!$H$4,$V19-4,0))</f>
        <v>Guarulhos</v>
      </c>
      <c r="J19" s="219" t="str">
        <f ca="1">IF(ISERROR($V19),"",OFFSET('Smelter Look-up'!$I$4,$V19-4,0))</f>
        <v>São Paulo</v>
      </c>
      <c r="K19" s="273"/>
      <c r="L19" s="273"/>
      <c r="M19" s="273"/>
      <c r="N19" s="273"/>
      <c r="O19" s="273"/>
      <c r="P19" s="220"/>
      <c r="Q19" s="274"/>
      <c r="R19" s="217" t="str">
        <f ca="1">IF(ISERROR($V19),"",OFFSET('Smelter Look-up'!$C$4,$V19-4,0)&amp;"")</f>
        <v>Umicore Brasil Ltda.</v>
      </c>
      <c r="S19" s="225" t="str">
        <f t="shared" ca="1" si="3"/>
        <v>BR</v>
      </c>
      <c r="T19" s="225" t="str">
        <f ca="1">IF(B19="","",IF(ISERROR(MATCH($J19,SorP!$B$1:$B$6230,0)),"",INDIRECT("'SorP'!$A$"&amp;MATCH($J19,SorP!$B$1:$B$6230,0))))</f>
        <v>BR-SP</v>
      </c>
      <c r="U19" s="241"/>
      <c r="V19" s="275">
        <f>IF(C19="",NA(),MATCH($B19&amp;$C19,'Smelter Look-up'!$J:$J,0))</f>
        <v>264</v>
      </c>
      <c r="W19" s="276"/>
      <c r="X19" s="276">
        <f t="shared" ca="1" si="4"/>
        <v>0</v>
      </c>
      <c r="Y19" s="276"/>
      <c r="Z19" s="276"/>
      <c r="AB19" s="278" t="str">
        <f t="shared" si="5"/>
        <v>GoldUmicore Brasil Ltda.</v>
      </c>
    </row>
    <row r="20" spans="1:28" s="277" customFormat="1" ht="127.5">
      <c r="A20" s="216"/>
      <c r="B20" s="217" t="s">
        <v>1153</v>
      </c>
      <c r="C20" s="221" t="s">
        <v>2313</v>
      </c>
      <c r="D20" s="283"/>
      <c r="E20" s="217" t="str">
        <f ca="1">IF(ISERROR($V20),"",OFFSET('Smelter Look-up'!$D$4,$V20-4,0)&amp;"")</f>
        <v>AUSTRIA</v>
      </c>
      <c r="F20" s="217" t="str">
        <f ca="1">IF(ISERROR($V20),"",OFFSET('Smelter Look-up'!$E$4,$V20-4,0))</f>
        <v>CID002779</v>
      </c>
      <c r="G20" s="217" t="str">
        <f ca="1">IF(C20=$X$4,"Enter smelter details",IF(ISERROR($V20),"",OFFSET('Smelter Look-up'!$F$4,$V20-4,0)))</f>
        <v>RMI</v>
      </c>
      <c r="H20" s="218">
        <f ca="1">IF(ISERROR($V20),"",OFFSET('Smelter Look-up'!$G$4,$V20-4,0))</f>
        <v>0</v>
      </c>
      <c r="I20" s="219" t="str">
        <f ca="1">IF(ISERROR($V20),"",OFFSET('Smelter Look-up'!$H$4,$V20-4,0))</f>
        <v>Vienna</v>
      </c>
      <c r="J20" s="219" t="str">
        <f ca="1">IF(ISERROR($V20),"",OFFSET('Smelter Look-up'!$I$4,$V20-4,0))</f>
        <v>Wien</v>
      </c>
      <c r="K20" s="273"/>
      <c r="L20" s="273"/>
      <c r="M20" s="273"/>
      <c r="N20" s="273"/>
      <c r="O20" s="273"/>
      <c r="P20" s="220"/>
      <c r="Q20" s="274"/>
      <c r="R20" s="217" t="str">
        <f ca="1">IF(ISERROR($V20),"",OFFSET('Smelter Look-up'!$C$4,$V20-4,0)&amp;"")</f>
        <v>Ogussa Osterreichische Gold- und Silber-Scheideanstalt GmbH</v>
      </c>
      <c r="S20" s="225" t="str">
        <f t="shared" ca="1" si="3"/>
        <v>AT</v>
      </c>
      <c r="T20" s="225" t="str">
        <f ca="1">IF(B20="","",IF(ISERROR(MATCH($J20,SorP!$B$1:$B$6230,0)),"",INDIRECT("'SorP'!$A$"&amp;MATCH($J20,SorP!$B$1:$B$6230,0))))</f>
        <v>AT-9</v>
      </c>
      <c r="U20" s="241"/>
      <c r="V20" s="275">
        <f>IF(C20="",NA(),MATCH($B20&amp;$C20,'Smelter Look-up'!$J:$J,0))</f>
        <v>179</v>
      </c>
      <c r="W20" s="276"/>
      <c r="X20" s="276">
        <f t="shared" ca="1" si="4"/>
        <v>0</v>
      </c>
      <c r="Y20" s="276"/>
      <c r="Z20" s="276"/>
      <c r="AB20" s="278" t="str">
        <f t="shared" si="5"/>
        <v>GoldÖgussa Österreichische Gold- und Silber-Scheideanstalt GmbH</v>
      </c>
    </row>
    <row r="21" spans="1:28" s="277" customFormat="1" ht="63.75">
      <c r="A21" s="216"/>
      <c r="B21" s="217" t="s">
        <v>1153</v>
      </c>
      <c r="C21" s="221" t="s">
        <v>2312</v>
      </c>
      <c r="D21" s="283"/>
      <c r="E21" s="217" t="str">
        <f ca="1">IF(ISERROR($V21),"",OFFSET('Smelter Look-up'!$D$4,$V21-4,0)&amp;"")</f>
        <v>GERMANY</v>
      </c>
      <c r="F21" s="217" t="str">
        <f ca="1">IF(ISERROR($V21),"",OFFSET('Smelter Look-up'!$E$4,$V21-4,0))</f>
        <v>CID002778</v>
      </c>
      <c r="G21" s="217" t="str">
        <f ca="1">IF(C21=$X$4,"Enter smelter details",IF(ISERROR($V21),"",OFFSET('Smelter Look-up'!$F$4,$V21-4,0)))</f>
        <v>RMI</v>
      </c>
      <c r="H21" s="218">
        <f ca="1">IF(ISERROR($V21),"",OFFSET('Smelter Look-up'!$G$4,$V21-4,0))</f>
        <v>0</v>
      </c>
      <c r="I21" s="219" t="str">
        <f ca="1">IF(ISERROR($V21),"",OFFSET('Smelter Look-up'!$H$4,$V21-4,0))</f>
        <v>Pforzheim</v>
      </c>
      <c r="J21" s="219" t="str">
        <f ca="1">IF(ISERROR($V21),"",OFFSET('Smelter Look-up'!$I$4,$V21-4,0))</f>
        <v>Baden-Württemberg</v>
      </c>
      <c r="K21" s="273"/>
      <c r="L21" s="273"/>
      <c r="M21" s="273"/>
      <c r="N21" s="273"/>
      <c r="O21" s="273"/>
      <c r="P21" s="220"/>
      <c r="Q21" s="274"/>
      <c r="R21" s="217" t="str">
        <f ca="1">IF(ISERROR($V21),"",OFFSET('Smelter Look-up'!$C$4,$V21-4,0)&amp;"")</f>
        <v>WIELAND Edelmetalle GmbH</v>
      </c>
      <c r="S21" s="225" t="str">
        <f t="shared" ca="1" si="3"/>
        <v>DE</v>
      </c>
      <c r="T21" s="225" t="str">
        <f ca="1">IF(B21="","",IF(ISERROR(MATCH($J21,SorP!$B$1:$B$6230,0)),"",INDIRECT("'SorP'!$A$"&amp;MATCH($J21,SorP!$B$1:$B$6230,0))))</f>
        <v>DE-BW</v>
      </c>
      <c r="U21" s="241"/>
      <c r="V21" s="275">
        <f>IF(C21="",NA(),MATCH($B21&amp;$C21,'Smelter Look-up'!$J:$J,0))</f>
        <v>271</v>
      </c>
      <c r="W21" s="276"/>
      <c r="X21" s="276">
        <f t="shared" ca="1" si="4"/>
        <v>0</v>
      </c>
      <c r="Y21" s="276"/>
      <c r="Z21" s="276"/>
      <c r="AB21" s="278" t="str">
        <f t="shared" si="5"/>
        <v>GoldWIELAND Edelmetalle GmbH</v>
      </c>
    </row>
    <row r="22" spans="1:28" s="277" customFormat="1" ht="63.75">
      <c r="A22" s="216"/>
      <c r="B22" s="217" t="s">
        <v>1153</v>
      </c>
      <c r="C22" s="221" t="s">
        <v>2269</v>
      </c>
      <c r="D22" s="283"/>
      <c r="E22" s="217" t="str">
        <f ca="1">IF(ISERROR($V22),"",OFFSET('Smelter Look-up'!$D$4,$V22-4,0)&amp;"")</f>
        <v>JAPAN</v>
      </c>
      <c r="F22" s="217" t="str">
        <f ca="1">IF(ISERROR($V22),"",OFFSET('Smelter Look-up'!$E$4,$V22-4,0))</f>
        <v>CID001938</v>
      </c>
      <c r="G22" s="217" t="str">
        <f ca="1">IF(C22=$X$4,"Enter smelter details",IF(ISERROR($V22),"",OFFSET('Smelter Look-up'!$F$4,$V22-4,0)))</f>
        <v>RMI</v>
      </c>
      <c r="H22" s="218">
        <f ca="1">IF(ISERROR($V22),"",OFFSET('Smelter Look-up'!$G$4,$V22-4,0))</f>
        <v>0</v>
      </c>
      <c r="I22" s="219" t="str">
        <f ca="1">IF(ISERROR($V22),"",OFFSET('Smelter Look-up'!$H$4,$V22-4,0))</f>
        <v>Kuki</v>
      </c>
      <c r="J22" s="219" t="str">
        <f ca="1">IF(ISERROR($V22),"",OFFSET('Smelter Look-up'!$I$4,$V22-4,0))</f>
        <v>Saitama</v>
      </c>
      <c r="K22" s="273"/>
      <c r="L22" s="273"/>
      <c r="M22" s="273"/>
      <c r="N22" s="273"/>
      <c r="O22" s="273"/>
      <c r="P22" s="220"/>
      <c r="Q22" s="274"/>
      <c r="R22" s="217" t="str">
        <f ca="1">IF(ISERROR($V22),"",OFFSET('Smelter Look-up'!$C$4,$V22-4,0)&amp;"")</f>
        <v>Tokuriki Honten Co., Ltd.</v>
      </c>
      <c r="S22" s="225" t="str">
        <f t="shared" ca="1" si="3"/>
        <v>JP</v>
      </c>
      <c r="T22" s="225" t="str">
        <f ca="1">IF(B22="","",IF(ISERROR(MATCH($J22,SorP!$B$1:$B$6230,0)),"",INDIRECT("'SorP'!$A$"&amp;MATCH($J22,SorP!$B$1:$B$6230,0))))</f>
        <v>JP-11</v>
      </c>
      <c r="U22" s="241"/>
      <c r="V22" s="275">
        <f>IF(C22="",NA(),MATCH($B22&amp;$C22,'Smelter Look-up'!$J:$J,0))</f>
        <v>257</v>
      </c>
      <c r="W22" s="276"/>
      <c r="X22" s="276">
        <f t="shared" ca="1" si="4"/>
        <v>0</v>
      </c>
      <c r="Y22" s="276"/>
      <c r="Z22" s="276"/>
      <c r="AB22" s="278" t="str">
        <f t="shared" si="5"/>
        <v>GoldTokuriki Honten Co., Ltd.</v>
      </c>
    </row>
    <row r="23" spans="1:28" s="277" customFormat="1" ht="63.75">
      <c r="A23" s="216"/>
      <c r="B23" s="217" t="s">
        <v>1153</v>
      </c>
      <c r="C23" s="221" t="s">
        <v>1416</v>
      </c>
      <c r="D23" s="283"/>
      <c r="E23" s="217" t="str">
        <f ca="1">IF(ISERROR($V23),"",OFFSET('Smelter Look-up'!$D$4,$V23-4,0)&amp;"")</f>
        <v>TAIWAN, PROVINCE OF CHINA</v>
      </c>
      <c r="F23" s="217" t="str">
        <f ca="1">IF(ISERROR($V23),"",OFFSET('Smelter Look-up'!$E$4,$V23-4,0))</f>
        <v>CID002516</v>
      </c>
      <c r="G23" s="217" t="str">
        <f ca="1">IF(C23=$X$4,"Enter smelter details",IF(ISERROR($V23),"",OFFSET('Smelter Look-up'!$F$4,$V23-4,0)))</f>
        <v>RMI</v>
      </c>
      <c r="H23" s="218">
        <f ca="1">IF(ISERROR($V23),"",OFFSET('Smelter Look-up'!$G$4,$V23-4,0))</f>
        <v>0</v>
      </c>
      <c r="I23" s="219" t="str">
        <f ca="1">IF(ISERROR($V23),"",OFFSET('Smelter Look-up'!$H$4,$V23-4,0))</f>
        <v>Dayuan</v>
      </c>
      <c r="J23" s="219" t="str">
        <f ca="1">IF(ISERROR($V23),"",OFFSET('Smelter Look-up'!$I$4,$V23-4,0))</f>
        <v>Taoyuan</v>
      </c>
      <c r="K23" s="273"/>
      <c r="L23" s="273"/>
      <c r="M23" s="273"/>
      <c r="N23" s="273"/>
      <c r="O23" s="273"/>
      <c r="P23" s="220"/>
      <c r="Q23" s="274"/>
      <c r="R23" s="217" t="str">
        <f ca="1">IF(ISERROR($V23),"",OFFSET('Smelter Look-up'!$C$4,$V23-4,0)&amp;"")</f>
        <v>Singway Technology Co., Ltd.</v>
      </c>
      <c r="S23" s="225" t="str">
        <f t="shared" ca="1" si="3"/>
        <v>TW</v>
      </c>
      <c r="T23" s="225" t="str">
        <f ca="1">IF(B23="","",IF(ISERROR(MATCH($J23,SorP!$B$1:$B$6230,0)),"",INDIRECT("'SorP'!$A$"&amp;MATCH($J23,SorP!$B$1:$B$6230,0))))</f>
        <v>TW-TAO</v>
      </c>
      <c r="U23" s="241"/>
      <c r="V23" s="275">
        <f>IF(C23="",NA(),MATCH($B23&amp;$C23,'Smelter Look-up'!$J:$J,0))</f>
        <v>230</v>
      </c>
      <c r="W23" s="276"/>
      <c r="X23" s="276">
        <f t="shared" ca="1" si="4"/>
        <v>0</v>
      </c>
      <c r="Y23" s="276"/>
      <c r="Z23" s="276"/>
      <c r="AB23" s="278" t="str">
        <f t="shared" si="5"/>
        <v>GoldSingway Technology Co., Ltd.</v>
      </c>
    </row>
    <row r="24" spans="1:28" s="277" customFormat="1" ht="89.25">
      <c r="A24" s="216"/>
      <c r="B24" s="217" t="s">
        <v>1153</v>
      </c>
      <c r="C24" s="221" t="s">
        <v>2266</v>
      </c>
      <c r="D24" s="283"/>
      <c r="E24" s="217" t="str">
        <f ca="1">IF(ISERROR($V24),"",OFFSET('Smelter Look-up'!$D$4,$V24-4,0)&amp;"")</f>
        <v>CHINA</v>
      </c>
      <c r="F24" s="217" t="str">
        <f ca="1">IF(ISERROR($V24),"",OFFSET('Smelter Look-up'!$E$4,$V24-4,0))</f>
        <v>CID001736</v>
      </c>
      <c r="G24" s="217" t="str">
        <f ca="1">IF(C24=$X$4,"Enter smelter details",IF(ISERROR($V24),"",OFFSET('Smelter Look-up'!$F$4,$V24-4,0)))</f>
        <v>RMI</v>
      </c>
      <c r="H24" s="218">
        <f ca="1">IF(ISERROR($V24),"",OFFSET('Smelter Look-up'!$G$4,$V24-4,0))</f>
        <v>0</v>
      </c>
      <c r="I24" s="219" t="str">
        <f ca="1">IF(ISERROR($V24),"",OFFSET('Smelter Look-up'!$H$4,$V24-4,0))</f>
        <v>Chengdu</v>
      </c>
      <c r="J24" s="219" t="str">
        <f ca="1">IF(ISERROR($V24),"",OFFSET('Smelter Look-up'!$I$4,$V24-4,0))</f>
        <v>Sichuan Sheng</v>
      </c>
      <c r="K24" s="273"/>
      <c r="L24" s="273"/>
      <c r="M24" s="273"/>
      <c r="N24" s="273"/>
      <c r="O24" s="273"/>
      <c r="P24" s="220"/>
      <c r="Q24" s="274"/>
      <c r="R24" s="217" t="str">
        <f ca="1">IF(ISERROR($V24),"",OFFSET('Smelter Look-up'!$C$4,$V24-4,0)&amp;"")</f>
        <v>Sichuan Tianze Precious Metals Co., Ltd.</v>
      </c>
      <c r="S24" s="225" t="str">
        <f t="shared" ca="1" si="3"/>
        <v>CN</v>
      </c>
      <c r="T24" s="225" t="str">
        <f ca="1">IF(B24="","",IF(ISERROR(MATCH($J24,SorP!$B$1:$B$6230,0)),"",INDIRECT("'SorP'!$A$"&amp;MATCH($J24,SorP!$B$1:$B$6230,0))))</f>
        <v>CN-SC</v>
      </c>
      <c r="U24" s="241"/>
      <c r="V24" s="275">
        <f>IF(C24="",NA(),MATCH($B24&amp;$C24,'Smelter Look-up'!$J:$J,0))</f>
        <v>228</v>
      </c>
      <c r="W24" s="276"/>
      <c r="X24" s="276">
        <f t="shared" ca="1" si="4"/>
        <v>0</v>
      </c>
      <c r="Y24" s="276"/>
      <c r="Z24" s="276"/>
      <c r="AB24" s="278" t="str">
        <f t="shared" si="5"/>
        <v>GoldSichuan Tianze Precious Metals Co., Ltd.</v>
      </c>
    </row>
    <row r="25" spans="1:28" s="277" customFormat="1" ht="51">
      <c r="A25" s="216"/>
      <c r="B25" s="217" t="s">
        <v>1153</v>
      </c>
      <c r="C25" s="221" t="s">
        <v>2412</v>
      </c>
      <c r="D25" s="283"/>
      <c r="E25" s="217" t="str">
        <f ca="1">IF(ISERROR($V25),"",OFFSET('Smelter Look-up'!$D$4,$V25-4,0)&amp;"")</f>
        <v>SOUTH AFRICA</v>
      </c>
      <c r="F25" s="217" t="str">
        <f ca="1">IF(ISERROR($V25),"",OFFSET('Smelter Look-up'!$E$4,$V25-4,0))</f>
        <v>CID002850</v>
      </c>
      <c r="G25" s="217" t="str">
        <f ca="1">IF(C25=$X$4,"Enter smelter details",IF(ISERROR($V25),"",OFFSET('Smelter Look-up'!$F$4,$V25-4,0)))</f>
        <v>RMI</v>
      </c>
      <c r="H25" s="218">
        <f ca="1">IF(ISERROR($V25),"",OFFSET('Smelter Look-up'!$G$4,$V25-4,0))</f>
        <v>0</v>
      </c>
      <c r="I25" s="219" t="str">
        <f ca="1">IF(ISERROR($V25),"",OFFSET('Smelter Look-up'!$H$4,$V25-4,0))</f>
        <v>Johannesburg</v>
      </c>
      <c r="J25" s="219" t="str">
        <f ca="1">IF(ISERROR($V25),"",OFFSET('Smelter Look-up'!$I$4,$V25-4,0))</f>
        <v>Gauteng</v>
      </c>
      <c r="K25" s="273"/>
      <c r="L25" s="273"/>
      <c r="M25" s="273"/>
      <c r="N25" s="273"/>
      <c r="O25" s="273"/>
      <c r="P25" s="220"/>
      <c r="Q25" s="274"/>
      <c r="R25" s="217" t="str">
        <f ca="1">IF(ISERROR($V25),"",OFFSET('Smelter Look-up'!$C$4,$V25-4,0)&amp;"")</f>
        <v>AU Traders and Refiners</v>
      </c>
      <c r="S25" s="225" t="str">
        <f t="shared" ca="1" si="3"/>
        <v>ZA</v>
      </c>
      <c r="T25" s="225" t="str">
        <f ca="1">IF(B25="","",IF(ISERROR(MATCH($J25,SorP!$B$1:$B$6230,0)),"",INDIRECT("'SorP'!$A$"&amp;MATCH($J25,SorP!$B$1:$B$6230,0))))</f>
        <v>ZA-GT</v>
      </c>
      <c r="U25" s="241"/>
      <c r="V25" s="275">
        <f>IF(C25="",NA(),MATCH($B25&amp;$C25,'Smelter Look-up'!$J:$J,0))</f>
        <v>30</v>
      </c>
      <c r="W25" s="276"/>
      <c r="X25" s="276">
        <f t="shared" ca="1" si="4"/>
        <v>0</v>
      </c>
      <c r="Y25" s="276"/>
      <c r="Z25" s="276"/>
      <c r="AB25" s="278" t="str">
        <f t="shared" si="5"/>
        <v>GoldAU Traders and Refiners</v>
      </c>
    </row>
    <row r="26" spans="1:28" s="277" customFormat="1" ht="63.75">
      <c r="A26" s="216"/>
      <c r="B26" s="217" t="s">
        <v>1153</v>
      </c>
      <c r="C26" s="221" t="s">
        <v>2431</v>
      </c>
      <c r="D26" s="283"/>
      <c r="E26" s="217" t="str">
        <f ca="1">IF(ISERROR($V26),"",OFFSET('Smelter Look-up'!$D$4,$V26-4,0)&amp;"")</f>
        <v>SWITZERLAND</v>
      </c>
      <c r="F26" s="217" t="str">
        <f ca="1">IF(ISERROR($V26),"",OFFSET('Smelter Look-up'!$E$4,$V26-4,0))</f>
        <v>CID001153</v>
      </c>
      <c r="G26" s="217" t="str">
        <f ca="1">IF(C26=$X$4,"Enter smelter details",IF(ISERROR($V26),"",OFFSET('Smelter Look-up'!$F$4,$V26-4,0)))</f>
        <v>RMI</v>
      </c>
      <c r="H26" s="218">
        <f ca="1">IF(ISERROR($V26),"",OFFSET('Smelter Look-up'!$G$4,$V26-4,0))</f>
        <v>0</v>
      </c>
      <c r="I26" s="219" t="str">
        <f ca="1">IF(ISERROR($V26),"",OFFSET('Smelter Look-up'!$H$4,$V26-4,0))</f>
        <v>Marin</v>
      </c>
      <c r="J26" s="219" t="str">
        <f ca="1">IF(ISERROR($V26),"",OFFSET('Smelter Look-up'!$I$4,$V26-4,0))</f>
        <v>Neuchâtel</v>
      </c>
      <c r="K26" s="273"/>
      <c r="L26" s="273"/>
      <c r="M26" s="273"/>
      <c r="N26" s="273"/>
      <c r="O26" s="273"/>
      <c r="P26" s="220"/>
      <c r="Q26" s="274"/>
      <c r="R26" s="217" t="str">
        <f ca="1">IF(ISERROR($V26),"",OFFSET('Smelter Look-up'!$C$4,$V26-4,0)&amp;"")</f>
        <v>Metalor Technologies S.A.</v>
      </c>
      <c r="S26" s="225" t="str">
        <f t="shared" ca="1" si="3"/>
        <v>CH</v>
      </c>
      <c r="T26" s="225" t="str">
        <f ca="1">IF(B26="","",IF(ISERROR(MATCH($J26,SorP!$B$1:$B$6230,0)),"",INDIRECT("'SorP'!$A$"&amp;MATCH($J26,SorP!$B$1:$B$6230,0))))</f>
        <v>CH-NE</v>
      </c>
      <c r="U26" s="241"/>
      <c r="V26" s="275">
        <f>IF(C26="",NA(),MATCH($B26&amp;$C26,'Smelter Look-up'!$J:$J,0))</f>
        <v>158</v>
      </c>
      <c r="W26" s="276"/>
      <c r="X26" s="276">
        <f t="shared" ca="1" si="4"/>
        <v>0</v>
      </c>
      <c r="Y26" s="276"/>
      <c r="Z26" s="276"/>
      <c r="AB26" s="278" t="str">
        <f t="shared" si="5"/>
        <v>GoldMetalor Technologies S.A.</v>
      </c>
    </row>
    <row r="27" spans="1:28" s="277" customFormat="1" ht="51">
      <c r="A27" s="216"/>
      <c r="B27" s="217" t="s">
        <v>1153</v>
      </c>
      <c r="C27" s="221" t="s">
        <v>2409</v>
      </c>
      <c r="D27" s="283"/>
      <c r="E27" s="217" t="str">
        <f ca="1">IF(ISERROR($V27),"",OFFSET('Smelter Look-up'!$D$4,$V27-4,0)&amp;"")</f>
        <v>SWITZERLAND</v>
      </c>
      <c r="F27" s="217" t="str">
        <f ca="1">IF(ISERROR($V27),"",OFFSET('Smelter Look-up'!$E$4,$V27-4,0))</f>
        <v>CID000077</v>
      </c>
      <c r="G27" s="217" t="str">
        <f ca="1">IF(C27=$X$4,"Enter smelter details",IF(ISERROR($V27),"",OFFSET('Smelter Look-up'!$F$4,$V27-4,0)))</f>
        <v>RMI</v>
      </c>
      <c r="H27" s="218">
        <f ca="1">IF(ISERROR($V27),"",OFFSET('Smelter Look-up'!$G$4,$V27-4,0))</f>
        <v>0</v>
      </c>
      <c r="I27" s="219" t="str">
        <f ca="1">IF(ISERROR($V27),"",OFFSET('Smelter Look-up'!$H$4,$V27-4,0))</f>
        <v>Mendrisio</v>
      </c>
      <c r="J27" s="219" t="str">
        <f ca="1">IF(ISERROR($V27),"",OFFSET('Smelter Look-up'!$I$4,$V27-4,0))</f>
        <v>Ticino</v>
      </c>
      <c r="K27" s="273"/>
      <c r="L27" s="273"/>
      <c r="M27" s="273"/>
      <c r="N27" s="273"/>
      <c r="O27" s="273"/>
      <c r="P27" s="220"/>
      <c r="Q27" s="274"/>
      <c r="R27" s="217" t="str">
        <f ca="1">IF(ISERROR($V27),"",OFFSET('Smelter Look-up'!$C$4,$V27-4,0)&amp;"")</f>
        <v>Argor-Heraeus S.A.</v>
      </c>
      <c r="S27" s="225" t="str">
        <f t="shared" ca="1" si="3"/>
        <v>CH</v>
      </c>
      <c r="T27" s="225" t="str">
        <f ca="1">IF(B27="","",IF(ISERROR(MATCH($J27,SorP!$B$1:$B$6230,0)),"",INDIRECT("'SorP'!$A$"&amp;MATCH($J27,SorP!$B$1:$B$6230,0))))</f>
        <v>CH-TI</v>
      </c>
      <c r="U27" s="241"/>
      <c r="V27" s="275">
        <f>IF(C27="",NA(),MATCH($B27&amp;$C27,'Smelter Look-up'!$J:$J,0))</f>
        <v>23</v>
      </c>
      <c r="W27" s="276"/>
      <c r="X27" s="276">
        <f t="shared" ca="1" si="4"/>
        <v>0</v>
      </c>
      <c r="Y27" s="276"/>
      <c r="Z27" s="276"/>
      <c r="AB27" s="278" t="str">
        <f t="shared" si="5"/>
        <v>GoldArgor-Heraeus S.A.</v>
      </c>
    </row>
    <row r="28" spans="1:28" s="277" customFormat="1" ht="25.5">
      <c r="A28" s="216"/>
      <c r="B28" s="217" t="s">
        <v>1153</v>
      </c>
      <c r="C28" s="221" t="s">
        <v>1247</v>
      </c>
      <c r="D28" s="283"/>
      <c r="E28" s="217" t="str">
        <f ca="1">IF(ISERROR($V28),"",OFFSET('Smelter Look-up'!$D$4,$V28-4,0)&amp;"")</f>
        <v>GERMANY</v>
      </c>
      <c r="F28" s="217" t="str">
        <f ca="1">IF(ISERROR($V28),"",OFFSET('Smelter Look-up'!$E$4,$V28-4,0))</f>
        <v>CID000113</v>
      </c>
      <c r="G28" s="217" t="str">
        <f ca="1">IF(C28=$X$4,"Enter smelter details",IF(ISERROR($V28),"",OFFSET('Smelter Look-up'!$F$4,$V28-4,0)))</f>
        <v>RMI</v>
      </c>
      <c r="H28" s="218">
        <f ca="1">IF(ISERROR($V28),"",OFFSET('Smelter Look-up'!$G$4,$V28-4,0))</f>
        <v>0</v>
      </c>
      <c r="I28" s="219" t="str">
        <f ca="1">IF(ISERROR($V28),"",OFFSET('Smelter Look-up'!$H$4,$V28-4,0))</f>
        <v>Hamburg</v>
      </c>
      <c r="J28" s="219" t="str">
        <f ca="1">IF(ISERROR($V28),"",OFFSET('Smelter Look-up'!$I$4,$V28-4,0))</f>
        <v>Hamburg</v>
      </c>
      <c r="K28" s="273"/>
      <c r="L28" s="273"/>
      <c r="M28" s="273"/>
      <c r="N28" s="273"/>
      <c r="O28" s="273"/>
      <c r="P28" s="220"/>
      <c r="Q28" s="274"/>
      <c r="R28" s="217" t="str">
        <f ca="1">IF(ISERROR($V28),"",OFFSET('Smelter Look-up'!$C$4,$V28-4,0)&amp;"")</f>
        <v>Aurubis AG</v>
      </c>
      <c r="S28" s="225" t="str">
        <f t="shared" ca="1" si="3"/>
        <v>DE</v>
      </c>
      <c r="T28" s="225" t="str">
        <f ca="1">IF(B28="","",IF(ISERROR(MATCH($J28,SorP!$B$1:$B$6230,0)),"",INDIRECT("'SorP'!$A$"&amp;MATCH($J28,SorP!$B$1:$B$6230,0))))</f>
        <v>DE-HH</v>
      </c>
      <c r="U28" s="241"/>
      <c r="V28" s="275">
        <f>IF(C28="",NA(),MATCH($B28&amp;$C28,'Smelter Look-up'!$J:$J,0))</f>
        <v>32</v>
      </c>
      <c r="W28" s="276"/>
      <c r="X28" s="276">
        <f t="shared" ca="1" si="4"/>
        <v>0</v>
      </c>
      <c r="Y28" s="276"/>
      <c r="Z28" s="276"/>
      <c r="AB28" s="278" t="str">
        <f t="shared" si="5"/>
        <v>GoldAurubis AG</v>
      </c>
    </row>
    <row r="29" spans="1:28" s="277" customFormat="1" ht="38.25">
      <c r="A29" s="216"/>
      <c r="B29" s="217" t="s">
        <v>1153</v>
      </c>
      <c r="C29" s="221" t="s">
        <v>55</v>
      </c>
      <c r="D29" s="283"/>
      <c r="E29" s="217" t="str">
        <f ca="1">IF(ISERROR($V29),"",OFFSET('Smelter Look-up'!$D$4,$V29-4,0)&amp;"")</f>
        <v>ITALY</v>
      </c>
      <c r="F29" s="217" t="str">
        <f ca="1">IF(ISERROR($V29),"",OFFSET('Smelter Look-up'!$E$4,$V29-4,0))</f>
        <v>CID000233</v>
      </c>
      <c r="G29" s="217" t="str">
        <f ca="1">IF(C29=$X$4,"Enter smelter details",IF(ISERROR($V29),"",OFFSET('Smelter Look-up'!$F$4,$V29-4,0)))</f>
        <v>RMI</v>
      </c>
      <c r="H29" s="218">
        <f ca="1">IF(ISERROR($V29),"",OFFSET('Smelter Look-up'!$G$4,$V29-4,0))</f>
        <v>0</v>
      </c>
      <c r="I29" s="219" t="str">
        <f ca="1">IF(ISERROR($V29),"",OFFSET('Smelter Look-up'!$H$4,$V29-4,0))</f>
        <v>Arezzo</v>
      </c>
      <c r="J29" s="219" t="str">
        <f ca="1">IF(ISERROR($V29),"",OFFSET('Smelter Look-up'!$I$4,$V29-4,0))</f>
        <v>Toscana</v>
      </c>
      <c r="K29" s="273"/>
      <c r="L29" s="273"/>
      <c r="M29" s="273"/>
      <c r="N29" s="273"/>
      <c r="O29" s="273"/>
      <c r="P29" s="220"/>
      <c r="Q29" s="274"/>
      <c r="R29" s="217" t="str">
        <f ca="1">IF(ISERROR($V29),"",OFFSET('Smelter Look-up'!$C$4,$V29-4,0)&amp;"")</f>
        <v>Chimet S.p.A.</v>
      </c>
      <c r="S29" s="225" t="str">
        <f t="shared" ca="1" si="3"/>
        <v>IT</v>
      </c>
      <c r="T29" s="225" t="str">
        <f ca="1">IF(B29="","",IF(ISERROR(MATCH($J29,SorP!$B$1:$B$6230,0)),"",INDIRECT("'SorP'!$A$"&amp;MATCH($J29,SorP!$B$1:$B$6230,0))))</f>
        <v>IT-52</v>
      </c>
      <c r="U29" s="241"/>
      <c r="V29" s="275">
        <f>IF(C29="",NA(),MATCH($B29&amp;$C29,'Smelter Look-up'!$J:$J,0))</f>
        <v>51</v>
      </c>
      <c r="W29" s="276"/>
      <c r="X29" s="276">
        <f t="shared" ca="1" si="4"/>
        <v>0</v>
      </c>
      <c r="Y29" s="276"/>
      <c r="Z29" s="276"/>
      <c r="AB29" s="278" t="str">
        <f t="shared" si="5"/>
        <v>GoldChimet S.p.A.</v>
      </c>
    </row>
    <row r="30" spans="1:28" s="277" customFormat="1" ht="51">
      <c r="A30" s="216"/>
      <c r="B30" s="217" t="s">
        <v>1153</v>
      </c>
      <c r="C30" s="221" t="s">
        <v>677</v>
      </c>
      <c r="D30" s="283"/>
      <c r="E30" s="217" t="str">
        <f ca="1">IF(ISERROR($V30),"",OFFSET('Smelter Look-up'!$D$4,$V30-4,0)&amp;"")</f>
        <v>GERMANY</v>
      </c>
      <c r="F30" s="217" t="str">
        <f ca="1">IF(ISERROR($V30),"",OFFSET('Smelter Look-up'!$E$4,$V30-4,0))</f>
        <v>CID000176</v>
      </c>
      <c r="G30" s="217" t="str">
        <f ca="1">IF(C30=$X$4,"Enter smelter details",IF(ISERROR($V30),"",OFFSET('Smelter Look-up'!$F$4,$V30-4,0)))</f>
        <v>RMI</v>
      </c>
      <c r="H30" s="218">
        <f ca="1">IF(ISERROR($V30),"",OFFSET('Smelter Look-up'!$G$4,$V30-4,0))</f>
        <v>0</v>
      </c>
      <c r="I30" s="219" t="str">
        <f ca="1">IF(ISERROR($V30),"",OFFSET('Smelter Look-up'!$H$4,$V30-4,0))</f>
        <v>Pforzheim</v>
      </c>
      <c r="J30" s="219" t="str">
        <f ca="1">IF(ISERROR($V30),"",OFFSET('Smelter Look-up'!$I$4,$V30-4,0))</f>
        <v>Baden-Württemberg</v>
      </c>
      <c r="K30" s="273"/>
      <c r="L30" s="273"/>
      <c r="M30" s="273"/>
      <c r="N30" s="273"/>
      <c r="O30" s="273"/>
      <c r="P30" s="220"/>
      <c r="Q30" s="274"/>
      <c r="R30" s="217" t="str">
        <f ca="1">IF(ISERROR($V30),"",OFFSET('Smelter Look-up'!$C$4,$V30-4,0)&amp;"")</f>
        <v>C. Hafner GmbH + Co. KG</v>
      </c>
      <c r="S30" s="225" t="str">
        <f t="shared" ca="1" si="3"/>
        <v>DE</v>
      </c>
      <c r="T30" s="225" t="str">
        <f ca="1">IF(B30="","",IF(ISERROR(MATCH($J30,SorP!$B$1:$B$6230,0)),"",INDIRECT("'SorP'!$A$"&amp;MATCH($J30,SorP!$B$1:$B$6230,0))))</f>
        <v>DE-BW</v>
      </c>
      <c r="U30" s="241"/>
      <c r="V30" s="275">
        <f>IF(C30="",NA(),MATCH($B30&amp;$C30,'Smelter Look-up'!$J:$J,0))</f>
        <v>38</v>
      </c>
      <c r="W30" s="276"/>
      <c r="X30" s="276">
        <f t="shared" ca="1" si="4"/>
        <v>0</v>
      </c>
      <c r="Y30" s="276"/>
      <c r="Z30" s="276"/>
      <c r="AB30" s="278" t="str">
        <f t="shared" si="5"/>
        <v>GoldC. Hafner GmbH + Co. KG</v>
      </c>
    </row>
    <row r="31" spans="1:28" s="277" customFormat="1" ht="76.5">
      <c r="A31" s="216"/>
      <c r="B31" s="217" t="s">
        <v>1153</v>
      </c>
      <c r="C31" s="221" t="s">
        <v>13251</v>
      </c>
      <c r="D31" s="283"/>
      <c r="E31" s="217" t="str">
        <f ca="1">IF(ISERROR($V31),"",OFFSET('Smelter Look-up'!$D$4,$V31-4,0)&amp;"")</f>
        <v>GERMANY</v>
      </c>
      <c r="F31" s="217" t="str">
        <f ca="1">IF(ISERROR($V31),"",OFFSET('Smelter Look-up'!$E$4,$V31-4,0))</f>
        <v>CID000362</v>
      </c>
      <c r="G31" s="217" t="str">
        <f ca="1">IF(C31=$X$4,"Enter smelter details",IF(ISERROR($V31),"",OFFSET('Smelter Look-up'!$F$4,$V31-4,0)))</f>
        <v>RMI</v>
      </c>
      <c r="H31" s="218">
        <f ca="1">IF(ISERROR($V31),"",OFFSET('Smelter Look-up'!$G$4,$V31-4,0))</f>
        <v>0</v>
      </c>
      <c r="I31" s="219" t="str">
        <f ca="1">IF(ISERROR($V31),"",OFFSET('Smelter Look-up'!$H$4,$V31-4,0))</f>
        <v>Pforzheim</v>
      </c>
      <c r="J31" s="219" t="str">
        <f ca="1">IF(ISERROR($V31),"",OFFSET('Smelter Look-up'!$I$4,$V31-4,0))</f>
        <v>Baden-Württemberg</v>
      </c>
      <c r="K31" s="273"/>
      <c r="L31" s="273"/>
      <c r="M31" s="273"/>
      <c r="N31" s="273"/>
      <c r="O31" s="273"/>
      <c r="P31" s="220"/>
      <c r="Q31" s="274"/>
      <c r="R31" s="217" t="str">
        <f ca="1">IF(ISERROR($V31),"",OFFSET('Smelter Look-up'!$C$4,$V31-4,0)&amp;"")</f>
        <v>DODUCO Contacts and Refining GmbH</v>
      </c>
      <c r="S31" s="225" t="str">
        <f t="shared" ca="1" si="3"/>
        <v>DE</v>
      </c>
      <c r="T31" s="225" t="str">
        <f ca="1">IF(B31="","",IF(ISERROR(MATCH($J31,SorP!$B$1:$B$6230,0)),"",INDIRECT("'SorP'!$A$"&amp;MATCH($J31,SorP!$B$1:$B$6230,0))))</f>
        <v>DE-BW</v>
      </c>
      <c r="U31" s="241"/>
      <c r="V31" s="275">
        <f>IF(C31="",NA(),MATCH($B31&amp;$C31,'Smelter Look-up'!$J:$J,0))</f>
        <v>61</v>
      </c>
      <c r="W31" s="276"/>
      <c r="X31" s="276">
        <f t="shared" ca="1" si="4"/>
        <v>0</v>
      </c>
      <c r="Y31" s="276"/>
      <c r="Z31" s="276"/>
      <c r="AB31" s="278" t="str">
        <f t="shared" si="5"/>
        <v>GoldDODUCO Contacts and Refining GmbH</v>
      </c>
    </row>
    <row r="32" spans="1:28" s="277" customFormat="1" ht="76.5">
      <c r="A32" s="216"/>
      <c r="B32" s="217" t="s">
        <v>1153</v>
      </c>
      <c r="C32" s="221" t="s">
        <v>1250</v>
      </c>
      <c r="D32" s="283"/>
      <c r="E32" s="217" t="str">
        <f ca="1">IF(ISERROR($V32),"",OFFSET('Smelter Look-up'!$D$4,$V32-4,0)&amp;"")</f>
        <v>GERMANY</v>
      </c>
      <c r="F32" s="217" t="str">
        <f ca="1">IF(ISERROR($V32),"",OFFSET('Smelter Look-up'!$E$4,$V32-4,0))</f>
        <v>CID000711</v>
      </c>
      <c r="G32" s="217" t="str">
        <f ca="1">IF(C32=$X$4,"Enter smelter details",IF(ISERROR($V32),"",OFFSET('Smelter Look-up'!$F$4,$V32-4,0)))</f>
        <v>RMI</v>
      </c>
      <c r="H32" s="218">
        <f ca="1">IF(ISERROR($V32),"",OFFSET('Smelter Look-up'!$G$4,$V32-4,0))</f>
        <v>0</v>
      </c>
      <c r="I32" s="219" t="str">
        <f ca="1">IF(ISERROR($V32),"",OFFSET('Smelter Look-up'!$H$4,$V32-4,0))</f>
        <v>Hanau</v>
      </c>
      <c r="J32" s="219" t="str">
        <f ca="1">IF(ISERROR($V32),"",OFFSET('Smelter Look-up'!$I$4,$V32-4,0))</f>
        <v>Hessen</v>
      </c>
      <c r="K32" s="273"/>
      <c r="L32" s="273"/>
      <c r="M32" s="273"/>
      <c r="N32" s="273"/>
      <c r="O32" s="273"/>
      <c r="P32" s="220"/>
      <c r="Q32" s="274"/>
      <c r="R32" s="217" t="str">
        <f ca="1">IF(ISERROR($V32),"",OFFSET('Smelter Look-up'!$C$4,$V32-4,0)&amp;"")</f>
        <v>Heraeus Precious Metals GmbH &amp; Co. KG</v>
      </c>
      <c r="S32" s="225" t="str">
        <f t="shared" ca="1" si="3"/>
        <v>DE</v>
      </c>
      <c r="T32" s="225" t="str">
        <f ca="1">IF(B32="","",IF(ISERROR(MATCH($J32,SorP!$B$1:$B$6230,0)),"",INDIRECT("'SorP'!$A$"&amp;MATCH($J32,SorP!$B$1:$B$6230,0))))</f>
        <v>DE-HE</v>
      </c>
      <c r="U32" s="241"/>
      <c r="V32" s="275">
        <f>IF(C32="",NA(),MATCH($B32&amp;$C32,'Smelter Look-up'!$J:$J,0))</f>
        <v>98</v>
      </c>
      <c r="W32" s="276"/>
      <c r="X32" s="276">
        <f t="shared" ca="1" si="4"/>
        <v>0</v>
      </c>
      <c r="Y32" s="276"/>
      <c r="Z32" s="276"/>
      <c r="AB32" s="278" t="str">
        <f t="shared" si="5"/>
        <v>GoldHeraeus Precious Metals GmbH &amp; Co. KG</v>
      </c>
    </row>
    <row r="33" spans="1:28" s="277" customFormat="1" ht="51">
      <c r="A33" s="216"/>
      <c r="B33" s="217" t="s">
        <v>1153</v>
      </c>
      <c r="C33" s="221" t="s">
        <v>1062</v>
      </c>
      <c r="D33" s="283"/>
      <c r="E33" s="217" t="str">
        <f ca="1">IF(ISERROR($V33),"",OFFSET('Smelter Look-up'!$D$4,$V33-4,0)&amp;"")</f>
        <v>GERMANY</v>
      </c>
      <c r="F33" s="217" t="str">
        <f ca="1">IF(ISERROR($V33),"",OFFSET('Smelter Look-up'!$E$4,$V33-4,0))</f>
        <v>CID000694</v>
      </c>
      <c r="G33" s="217" t="str">
        <f ca="1">IF(C33=$X$4,"Enter smelter details",IF(ISERROR($V33),"",OFFSET('Smelter Look-up'!$F$4,$V33-4,0)))</f>
        <v>RMI</v>
      </c>
      <c r="H33" s="218">
        <f ca="1">IF(ISERROR($V33),"",OFFSET('Smelter Look-up'!$G$4,$V33-4,0))</f>
        <v>0</v>
      </c>
      <c r="I33" s="219" t="str">
        <f ca="1">IF(ISERROR($V33),"",OFFSET('Smelter Look-up'!$H$4,$V33-4,0))</f>
        <v>Pforzheim</v>
      </c>
      <c r="J33" s="219" t="str">
        <f ca="1">IF(ISERROR($V33),"",OFFSET('Smelter Look-up'!$I$4,$V33-4,0))</f>
        <v>Baden-Württemberg</v>
      </c>
      <c r="K33" s="273"/>
      <c r="L33" s="273"/>
      <c r="M33" s="273"/>
      <c r="N33" s="273"/>
      <c r="O33" s="273"/>
      <c r="P33" s="220"/>
      <c r="Q33" s="274"/>
      <c r="R33" s="217" t="str">
        <f ca="1">IF(ISERROR($V33),"",OFFSET('Smelter Look-up'!$C$4,$V33-4,0)&amp;"")</f>
        <v>Heimerle + Meule GmbH</v>
      </c>
      <c r="S33" s="225" t="str">
        <f t="shared" ca="1" si="3"/>
        <v>DE</v>
      </c>
      <c r="T33" s="225" t="str">
        <f ca="1">IF(B33="","",IF(ISERROR(MATCH($J33,SorP!$B$1:$B$6230,0)),"",INDIRECT("'SorP'!$A$"&amp;MATCH($J33,SorP!$B$1:$B$6230,0))))</f>
        <v>DE-BW</v>
      </c>
      <c r="U33" s="241"/>
      <c r="V33" s="275">
        <f>IF(C33="",NA(),MATCH($B33&amp;$C33,'Smelter Look-up'!$J:$J,0))</f>
        <v>92</v>
      </c>
      <c r="W33" s="276"/>
      <c r="X33" s="276">
        <f t="shared" ca="1" si="4"/>
        <v>0</v>
      </c>
      <c r="Y33" s="276"/>
      <c r="Z33" s="276"/>
      <c r="AB33" s="278" t="str">
        <f t="shared" si="5"/>
        <v>GoldHeimerle + Meule GmbH</v>
      </c>
    </row>
    <row r="34" spans="1:28" s="277" customFormat="1" ht="89.25">
      <c r="A34" s="216"/>
      <c r="B34" s="217" t="s">
        <v>1153</v>
      </c>
      <c r="C34" s="221" t="s">
        <v>2255</v>
      </c>
      <c r="D34" s="283"/>
      <c r="E34" s="217" t="str">
        <f ca="1">IF(ISERROR($V34),"",OFFSET('Smelter Look-up'!$D$4,$V34-4,0)&amp;"")</f>
        <v>CHINA</v>
      </c>
      <c r="F34" s="217" t="str">
        <f ca="1">IF(ISERROR($V34),"",OFFSET('Smelter Look-up'!$E$4,$V34-4,0))</f>
        <v>CID001149</v>
      </c>
      <c r="G34" s="217" t="str">
        <f ca="1">IF(C34=$X$4,"Enter smelter details",IF(ISERROR($V34),"",OFFSET('Smelter Look-up'!$F$4,$V34-4,0)))</f>
        <v>RMI</v>
      </c>
      <c r="H34" s="218">
        <f ca="1">IF(ISERROR($V34),"",OFFSET('Smelter Look-up'!$G$4,$V34-4,0))</f>
        <v>0</v>
      </c>
      <c r="I34" s="219" t="str">
        <f ca="1">IF(ISERROR($V34),"",OFFSET('Smelter Look-up'!$H$4,$V34-4,0))</f>
        <v>Kwai Chung</v>
      </c>
      <c r="J34" s="219" t="str">
        <f ca="1">IF(ISERROR($V34),"",OFFSET('Smelter Look-up'!$I$4,$V34-4,0))</f>
        <v>Hong Kong SAR</v>
      </c>
      <c r="K34" s="273"/>
      <c r="L34" s="273"/>
      <c r="M34" s="273"/>
      <c r="N34" s="273"/>
      <c r="O34" s="273"/>
      <c r="P34" s="220"/>
      <c r="Q34" s="274"/>
      <c r="R34" s="217" t="str">
        <f ca="1">IF(ISERROR($V34),"",OFFSET('Smelter Look-up'!$C$4,$V34-4,0)&amp;"")</f>
        <v>Metalor Technologies (Hong Kong) Ltd.</v>
      </c>
      <c r="S34" s="225" t="str">
        <f t="shared" ca="1" si="3"/>
        <v>CN</v>
      </c>
      <c r="T34" s="225" t="str">
        <f ca="1">IF(B34="","",IF(ISERROR(MATCH($J34,SorP!$B$1:$B$6230,0)),"",INDIRECT("'SorP'!$A$"&amp;MATCH($J34,SorP!$B$1:$B$6230,0))))</f>
        <v>CN-HK</v>
      </c>
      <c r="U34" s="241"/>
      <c r="V34" s="275">
        <f>IF(C34="",NA(),MATCH($B34&amp;$C34,'Smelter Look-up'!$J:$J,0))</f>
        <v>155</v>
      </c>
      <c r="W34" s="276"/>
      <c r="X34" s="276">
        <f t="shared" ca="1" si="4"/>
        <v>0</v>
      </c>
      <c r="Y34" s="276"/>
      <c r="Z34" s="276"/>
      <c r="AB34" s="278" t="str">
        <f t="shared" si="5"/>
        <v>GoldMetalor Technologies (Hong Kong) Ltd.</v>
      </c>
    </row>
    <row r="35" spans="1:28" s="277" customFormat="1" ht="63.75">
      <c r="A35" s="216"/>
      <c r="B35" s="217" t="s">
        <v>1153</v>
      </c>
      <c r="C35" s="221" t="s">
        <v>1252</v>
      </c>
      <c r="D35" s="283"/>
      <c r="E35" s="217" t="str">
        <f ca="1">IF(ISERROR($V35),"",OFFSET('Smelter Look-up'!$D$4,$V35-4,0)&amp;"")</f>
        <v>UNITED STATES OF AMERICA</v>
      </c>
      <c r="F35" s="217" t="str">
        <f ca="1">IF(ISERROR($V35),"",OFFSET('Smelter Look-up'!$E$4,$V35-4,0))</f>
        <v>CID001157</v>
      </c>
      <c r="G35" s="217" t="str">
        <f ca="1">IF(C35=$X$4,"Enter smelter details",IF(ISERROR($V35),"",OFFSET('Smelter Look-up'!$F$4,$V35-4,0)))</f>
        <v>RMI</v>
      </c>
      <c r="H35" s="218">
        <f ca="1">IF(ISERROR($V35),"",OFFSET('Smelter Look-up'!$G$4,$V35-4,0))</f>
        <v>0</v>
      </c>
      <c r="I35" s="219" t="str">
        <f ca="1">IF(ISERROR($V35),"",OFFSET('Smelter Look-up'!$H$4,$V35-4,0))</f>
        <v>North Attleboro</v>
      </c>
      <c r="J35" s="219" t="str">
        <f ca="1">IF(ISERROR($V35),"",OFFSET('Smelter Look-up'!$I$4,$V35-4,0))</f>
        <v>Massachusetts</v>
      </c>
      <c r="K35" s="273"/>
      <c r="L35" s="273"/>
      <c r="M35" s="273"/>
      <c r="N35" s="273"/>
      <c r="O35" s="273"/>
      <c r="P35" s="220"/>
      <c r="Q35" s="274"/>
      <c r="R35" s="217" t="str">
        <f ca="1">IF(ISERROR($V35),"",OFFSET('Smelter Look-up'!$C$4,$V35-4,0)&amp;"")</f>
        <v>Metalor USA Refining Corporation</v>
      </c>
      <c r="S35" s="225" t="str">
        <f t="shared" ca="1" si="3"/>
        <v>US</v>
      </c>
      <c r="T35" s="225" t="str">
        <f ca="1">IF(B35="","",IF(ISERROR(MATCH($J35,SorP!$B$1:$B$6230,0)),"",INDIRECT("'SorP'!$A$"&amp;MATCH($J35,SorP!$B$1:$B$6230,0))))</f>
        <v>US-MA</v>
      </c>
      <c r="U35" s="241"/>
      <c r="V35" s="275">
        <f>IF(C35="",NA(),MATCH($B35&amp;$C35,'Smelter Look-up'!$J:$J,0))</f>
        <v>159</v>
      </c>
      <c r="W35" s="276"/>
      <c r="X35" s="276">
        <f t="shared" ca="1" si="4"/>
        <v>0</v>
      </c>
      <c r="Y35" s="276"/>
      <c r="Z35" s="276"/>
      <c r="AB35" s="278" t="str">
        <f t="shared" si="5"/>
        <v>GoldMetalor USA Refining Corporation</v>
      </c>
    </row>
    <row r="36" spans="1:28" s="277" customFormat="1" ht="63.75">
      <c r="A36" s="216"/>
      <c r="B36" s="217" t="s">
        <v>1153</v>
      </c>
      <c r="C36" s="221" t="s">
        <v>2431</v>
      </c>
      <c r="D36" s="283"/>
      <c r="E36" s="217" t="str">
        <f ca="1">IF(ISERROR($V36),"",OFFSET('Smelter Look-up'!$D$4,$V36-4,0)&amp;"")</f>
        <v>SWITZERLAND</v>
      </c>
      <c r="F36" s="217" t="str">
        <f ca="1">IF(ISERROR($V36),"",OFFSET('Smelter Look-up'!$E$4,$V36-4,0))</f>
        <v>CID001153</v>
      </c>
      <c r="G36" s="217" t="str">
        <f ca="1">IF(C36=$X$4,"Enter smelter details",IF(ISERROR($V36),"",OFFSET('Smelter Look-up'!$F$4,$V36-4,0)))</f>
        <v>RMI</v>
      </c>
      <c r="H36" s="218">
        <f ca="1">IF(ISERROR($V36),"",OFFSET('Smelter Look-up'!$G$4,$V36-4,0))</f>
        <v>0</v>
      </c>
      <c r="I36" s="219" t="str">
        <f ca="1">IF(ISERROR($V36),"",OFFSET('Smelter Look-up'!$H$4,$V36-4,0))</f>
        <v>Marin</v>
      </c>
      <c r="J36" s="219" t="str">
        <f ca="1">IF(ISERROR($V36),"",OFFSET('Smelter Look-up'!$I$4,$V36-4,0))</f>
        <v>Neuchâtel</v>
      </c>
      <c r="K36" s="273"/>
      <c r="L36" s="273"/>
      <c r="M36" s="273"/>
      <c r="N36" s="273"/>
      <c r="O36" s="273"/>
      <c r="P36" s="220"/>
      <c r="Q36" s="274"/>
      <c r="R36" s="217" t="str">
        <f ca="1">IF(ISERROR($V36),"",OFFSET('Smelter Look-up'!$C$4,$V36-4,0)&amp;"")</f>
        <v>Metalor Technologies S.A.</v>
      </c>
      <c r="S36" s="225" t="str">
        <f t="shared" ca="1" si="3"/>
        <v>CH</v>
      </c>
      <c r="T36" s="225" t="str">
        <f ca="1">IF(B36="","",IF(ISERROR(MATCH($J36,SorP!$B$1:$B$6230,0)),"",INDIRECT("'SorP'!$A$"&amp;MATCH($J36,SorP!$B$1:$B$6230,0))))</f>
        <v>CH-NE</v>
      </c>
      <c r="U36" s="241"/>
      <c r="V36" s="275">
        <f>IF(C36="",NA(),MATCH($B36&amp;$C36,'Smelter Look-up'!$J:$J,0))</f>
        <v>158</v>
      </c>
      <c r="W36" s="276"/>
      <c r="X36" s="276">
        <f t="shared" ca="1" si="4"/>
        <v>0</v>
      </c>
      <c r="Y36" s="276"/>
      <c r="Z36" s="276"/>
      <c r="AB36" s="278" t="str">
        <f t="shared" si="5"/>
        <v>GoldMetalor Technologies S.A.</v>
      </c>
    </row>
    <row r="37" spans="1:28" s="277" customFormat="1" ht="76.5">
      <c r="A37" s="216"/>
      <c r="B37" s="217" t="s">
        <v>1153</v>
      </c>
      <c r="C37" s="221" t="s">
        <v>2670</v>
      </c>
      <c r="D37" s="283"/>
      <c r="E37" s="217" t="str">
        <f ca="1">IF(ISERROR($V37),"",OFFSET('Smelter Look-up'!$D$4,$V37-4,0)&amp;"")</f>
        <v>BELGIUM</v>
      </c>
      <c r="F37" s="217" t="str">
        <f ca="1">IF(ISERROR($V37),"",OFFSET('Smelter Look-up'!$E$4,$V37-4,0))</f>
        <v>CID001980</v>
      </c>
      <c r="G37" s="217" t="str">
        <f ca="1">IF(C37=$X$4,"Enter smelter details",IF(ISERROR($V37),"",OFFSET('Smelter Look-up'!$F$4,$V37-4,0)))</f>
        <v>RMI</v>
      </c>
      <c r="H37" s="218">
        <f ca="1">IF(ISERROR($V37),"",OFFSET('Smelter Look-up'!$G$4,$V37-4,0))</f>
        <v>0</v>
      </c>
      <c r="I37" s="219" t="str">
        <f ca="1">IF(ISERROR($V37),"",OFFSET('Smelter Look-up'!$H$4,$V37-4,0))</f>
        <v>Hoboken</v>
      </c>
      <c r="J37" s="219" t="str">
        <f ca="1">IF(ISERROR($V37),"",OFFSET('Smelter Look-up'!$I$4,$V37-4,0))</f>
        <v>Antwerpen</v>
      </c>
      <c r="K37" s="273"/>
      <c r="L37" s="273"/>
      <c r="M37" s="273"/>
      <c r="N37" s="273"/>
      <c r="O37" s="273"/>
      <c r="P37" s="220"/>
      <c r="Q37" s="274"/>
      <c r="R37" s="217" t="str">
        <f ca="1">IF(ISERROR($V37),"",OFFSET('Smelter Look-up'!$C$4,$V37-4,0)&amp;"")</f>
        <v>Umicore S.A. Business Unit Precious Metals Refining</v>
      </c>
      <c r="S37" s="225" t="str">
        <f t="shared" ca="1" si="3"/>
        <v>BE</v>
      </c>
      <c r="T37" s="225" t="str">
        <f ca="1">IF(B37="","",IF(ISERROR(MATCH($J37,SorP!$B$1:$B$6230,0)),"",INDIRECT("'SorP'!$A$"&amp;MATCH($J37,SorP!$B$1:$B$6230,0))))</f>
        <v>BE-VAN</v>
      </c>
      <c r="U37" s="241"/>
      <c r="V37" s="275">
        <f>IF(C37="",NA(),MATCH($B37&amp;$C37,'Smelter Look-up'!$J:$J,0))</f>
        <v>265</v>
      </c>
      <c r="W37" s="276"/>
      <c r="X37" s="276">
        <f t="shared" ca="1" si="4"/>
        <v>0</v>
      </c>
      <c r="Y37" s="276"/>
      <c r="Z37" s="276"/>
      <c r="AB37" s="278" t="str">
        <f t="shared" si="5"/>
        <v>GoldUmicore Precious Metals Refining Hoboken</v>
      </c>
    </row>
    <row r="38" spans="1:28" s="277" customFormat="1" ht="102">
      <c r="A38" s="216"/>
      <c r="B38" s="217" t="s">
        <v>1153</v>
      </c>
      <c r="C38" s="221" t="s">
        <v>2256</v>
      </c>
      <c r="D38" s="283"/>
      <c r="E38" s="217" t="str">
        <f ca="1">IF(ISERROR($V38),"",OFFSET('Smelter Look-up'!$D$4,$V38-4,0)&amp;"")</f>
        <v>SINGAPORE</v>
      </c>
      <c r="F38" s="217" t="str">
        <f ca="1">IF(ISERROR($V38),"",OFFSET('Smelter Look-up'!$E$4,$V38-4,0))</f>
        <v>CID001152</v>
      </c>
      <c r="G38" s="217" t="str">
        <f ca="1">IF(C38=$X$4,"Enter smelter details",IF(ISERROR($V38),"",OFFSET('Smelter Look-up'!$F$4,$V38-4,0)))</f>
        <v>RMI</v>
      </c>
      <c r="H38" s="218">
        <f ca="1">IF(ISERROR($V38),"",OFFSET('Smelter Look-up'!$G$4,$V38-4,0))</f>
        <v>0</v>
      </c>
      <c r="I38" s="219" t="str">
        <f ca="1">IF(ISERROR($V38),"",OFFSET('Smelter Look-up'!$H$4,$V38-4,0))</f>
        <v>Singapore</v>
      </c>
      <c r="J38" s="219" t="str">
        <f ca="1">IF(ISERROR($V38),"",OFFSET('Smelter Look-up'!$I$4,$V38-4,0))</f>
        <v>South West</v>
      </c>
      <c r="K38" s="273"/>
      <c r="L38" s="273"/>
      <c r="M38" s="273"/>
      <c r="N38" s="273"/>
      <c r="O38" s="273"/>
      <c r="P38" s="220"/>
      <c r="Q38" s="274"/>
      <c r="R38" s="217" t="str">
        <f ca="1">IF(ISERROR($V38),"",OFFSET('Smelter Look-up'!$C$4,$V38-4,0)&amp;"")</f>
        <v>Metalor Technologies (Singapore) Pte., Ltd.</v>
      </c>
      <c r="S38" s="225" t="str">
        <f t="shared" ref="S38:S68" ca="1" si="6">IF(B38="","",IF(ISERROR(MATCH($E38,CL,0)),"Unknown",INDIRECT("'C'!$A$"&amp;MATCH($E38,CL,0)+1)))</f>
        <v>SG</v>
      </c>
      <c r="T38" s="225" t="str">
        <f ca="1">IF(B38="","",IF(ISERROR(MATCH($J38,SorP!$B$1:$B$6230,0)),"",INDIRECT("'SorP'!$A$"&amp;MATCH($J38,SorP!$B$1:$B$6230,0))))</f>
        <v>SG-05</v>
      </c>
      <c r="U38" s="241"/>
      <c r="V38" s="275">
        <f>IF(C38="",NA(),MATCH($B38&amp;$C38,'Smelter Look-up'!$J:$J,0))</f>
        <v>156</v>
      </c>
      <c r="W38" s="276"/>
      <c r="X38" s="276">
        <f t="shared" ref="X38:X68" ca="1" si="7">IF(AND(C38="Smelter not listed",OR(LEN(D38)=0,LEN(E38)=0)),1,0)</f>
        <v>0</v>
      </c>
      <c r="Y38" s="276"/>
      <c r="Z38" s="276"/>
      <c r="AB38" s="278" t="str">
        <f t="shared" ref="AB38:AB68" si="8">B38&amp;C38</f>
        <v>GoldMetalor Technologies (Singapore) Pte., Ltd.</v>
      </c>
    </row>
    <row r="39" spans="1:28" s="277" customFormat="1" ht="76.5">
      <c r="A39" s="216"/>
      <c r="B39" s="217" t="s">
        <v>1153</v>
      </c>
      <c r="C39" s="221" t="s">
        <v>1649</v>
      </c>
      <c r="D39" s="283"/>
      <c r="E39" s="217" t="str">
        <f ca="1">IF(ISERROR($V39),"",OFFSET('Smelter Look-up'!$D$4,$V39-4,0)&amp;"")</f>
        <v>CHINA</v>
      </c>
      <c r="F39" s="217" t="str">
        <f ca="1">IF(ISERROR($V39),"",OFFSET('Smelter Look-up'!$E$4,$V39-4,0))</f>
        <v>CID001147</v>
      </c>
      <c r="G39" s="217" t="str">
        <f ca="1">IF(C39=$X$4,"Enter smelter details",IF(ISERROR($V39),"",OFFSET('Smelter Look-up'!$F$4,$V39-4,0)))</f>
        <v>RMI</v>
      </c>
      <c r="H39" s="218">
        <f ca="1">IF(ISERROR($V39),"",OFFSET('Smelter Look-up'!$G$4,$V39-4,0))</f>
        <v>0</v>
      </c>
      <c r="I39" s="219" t="str">
        <f ca="1">IF(ISERROR($V39),"",OFFSET('Smelter Look-up'!$H$4,$V39-4,0))</f>
        <v>Suzhou</v>
      </c>
      <c r="J39" s="219" t="str">
        <f ca="1">IF(ISERROR($V39),"",OFFSET('Smelter Look-up'!$I$4,$V39-4,0))</f>
        <v>Jiangsu Sheng</v>
      </c>
      <c r="K39" s="273"/>
      <c r="L39" s="273"/>
      <c r="M39" s="273"/>
      <c r="N39" s="273"/>
      <c r="O39" s="273"/>
      <c r="P39" s="220"/>
      <c r="Q39" s="274"/>
      <c r="R39" s="217" t="str">
        <f ca="1">IF(ISERROR($V39),"",OFFSET('Smelter Look-up'!$C$4,$V39-4,0)&amp;"")</f>
        <v>Metalor Technologies (Suzhou) Ltd.</v>
      </c>
      <c r="S39" s="225" t="str">
        <f t="shared" ca="1" si="6"/>
        <v>CN</v>
      </c>
      <c r="T39" s="225" t="str">
        <f ca="1">IF(B39="","",IF(ISERROR(MATCH($J39,SorP!$B$1:$B$6230,0)),"",INDIRECT("'SorP'!$A$"&amp;MATCH($J39,SorP!$B$1:$B$6230,0))))</f>
        <v>CN-JS</v>
      </c>
      <c r="U39" s="241"/>
      <c r="V39" s="275">
        <f>IF(C39="",NA(),MATCH($B39&amp;$C39,'Smelter Look-up'!$J:$J,0))</f>
        <v>157</v>
      </c>
      <c r="W39" s="276"/>
      <c r="X39" s="276">
        <f t="shared" ca="1" si="7"/>
        <v>0</v>
      </c>
      <c r="Y39" s="276"/>
      <c r="Z39" s="276"/>
      <c r="AB39" s="278" t="str">
        <f t="shared" si="8"/>
        <v>GoldMetalor Technologies (Suzhou) Ltd.</v>
      </c>
    </row>
    <row r="40" spans="1:28" s="277" customFormat="1" ht="63.75">
      <c r="A40" s="216"/>
      <c r="B40" s="217" t="s">
        <v>1154</v>
      </c>
      <c r="C40" s="221" t="s">
        <v>1350</v>
      </c>
      <c r="D40" s="283"/>
      <c r="E40" s="217" t="str">
        <f ca="1">IF(ISERROR($V40),"",OFFSET('Smelter Look-up'!$D$4,$V40-4,0)&amp;"")</f>
        <v>CHINA</v>
      </c>
      <c r="F40" s="217" t="str">
        <f ca="1">IF(ISERROR($V40),"",OFFSET('Smelter Look-up'!$E$4,$V40-4,0))</f>
        <v>CID001070</v>
      </c>
      <c r="G40" s="217" t="str">
        <f ca="1">IF(C40=$X$4,"Enter smelter details",IF(ISERROR($V40),"",OFFSET('Smelter Look-up'!$F$4,$V40-4,0)))</f>
        <v>RMI</v>
      </c>
      <c r="H40" s="218">
        <f ca="1">IF(ISERROR($V40),"",OFFSET('Smelter Look-up'!$G$4,$V40-4,0))</f>
        <v>0</v>
      </c>
      <c r="I40" s="219" t="str">
        <f ca="1">IF(ISERROR($V40),"",OFFSET('Smelter Look-up'!$H$4,$V40-4,0))</f>
        <v>Laibin</v>
      </c>
      <c r="J40" s="219" t="str">
        <f ca="1">IF(ISERROR($V40),"",OFFSET('Smelter Look-up'!$I$4,$V40-4,0))</f>
        <v>Guangxi Zhuangzu Zizhiqu</v>
      </c>
      <c r="K40" s="273"/>
      <c r="L40" s="273"/>
      <c r="M40" s="273"/>
      <c r="N40" s="273"/>
      <c r="O40" s="273"/>
      <c r="P40" s="220"/>
      <c r="Q40" s="274"/>
      <c r="R40" s="217" t="str">
        <f ca="1">IF(ISERROR($V40),"",OFFSET('Smelter Look-up'!$C$4,$V40-4,0)&amp;"")</f>
        <v>China Tin Group Co., Ltd.</v>
      </c>
      <c r="S40" s="225" t="str">
        <f t="shared" ca="1" si="6"/>
        <v>CN</v>
      </c>
      <c r="T40" s="225" t="str">
        <f ca="1">IF(B40="","",IF(ISERROR(MATCH($J40,SorP!$B$1:$B$6230,0)),"",INDIRECT("'SorP'!$A$"&amp;MATCH($J40,SorP!$B$1:$B$6230,0))))</f>
        <v>CN-GX</v>
      </c>
      <c r="U40" s="241"/>
      <c r="V40" s="275">
        <f>IF(C40="",NA(),MATCH($B40&amp;$C40,'Smelter Look-up'!$J:$J,0))</f>
        <v>367</v>
      </c>
      <c r="W40" s="276"/>
      <c r="X40" s="276">
        <f t="shared" ca="1" si="7"/>
        <v>0</v>
      </c>
      <c r="Y40" s="276"/>
      <c r="Z40" s="276"/>
      <c r="AB40" s="278" t="str">
        <f t="shared" si="8"/>
        <v>TinChina Tin Group Co., Ltd.</v>
      </c>
    </row>
    <row r="41" spans="1:28" s="277" customFormat="1" ht="51">
      <c r="A41" s="216"/>
      <c r="B41" s="217" t="s">
        <v>1154</v>
      </c>
      <c r="C41" s="221" t="s">
        <v>46</v>
      </c>
      <c r="D41" s="283"/>
      <c r="E41" s="217" t="str">
        <f ca="1">IF(ISERROR($V41),"",OFFSET('Smelter Look-up'!$D$4,$V41-4,0)&amp;"")</f>
        <v>CHINA</v>
      </c>
      <c r="F41" s="217" t="str">
        <f ca="1">IF(ISERROR($V41),"",OFFSET('Smelter Look-up'!$E$4,$V41-4,0))</f>
        <v>CID002180</v>
      </c>
      <c r="G41" s="217" t="str">
        <f ca="1">IF(C41=$X$4,"Enter smelter details",IF(ISERROR($V41),"",OFFSET('Smelter Look-up'!$F$4,$V41-4,0)))</f>
        <v>RMI</v>
      </c>
      <c r="H41" s="218">
        <f ca="1">IF(ISERROR($V41),"",OFFSET('Smelter Look-up'!$G$4,$V41-4,0))</f>
        <v>0</v>
      </c>
      <c r="I41" s="219" t="str">
        <f ca="1">IF(ISERROR($V41),"",OFFSET('Smelter Look-up'!$H$4,$V41-4,0))</f>
        <v>Gejiu</v>
      </c>
      <c r="J41" s="219" t="str">
        <f ca="1">IF(ISERROR($V41),"",OFFSET('Smelter Look-up'!$I$4,$V41-4,0))</f>
        <v>Yunnan Sheng</v>
      </c>
      <c r="K41" s="273"/>
      <c r="L41" s="273"/>
      <c r="M41" s="273"/>
      <c r="N41" s="273"/>
      <c r="O41" s="273"/>
      <c r="P41" s="220"/>
      <c r="Q41" s="274"/>
      <c r="R41" s="217" t="str">
        <f ca="1">IF(ISERROR($V41),"",OFFSET('Smelter Look-up'!$C$4,$V41-4,0)&amp;"")</f>
        <v>Yunnan Tin Company Limited</v>
      </c>
      <c r="S41" s="225" t="str">
        <f t="shared" ca="1" si="6"/>
        <v>CN</v>
      </c>
      <c r="T41" s="225" t="str">
        <f ca="1">IF(B41="","",IF(ISERROR(MATCH($J41,SorP!$B$1:$B$6230,0)),"",INDIRECT("'SorP'!$A$"&amp;MATCH($J41,SorP!$B$1:$B$6230,0))))</f>
        <v>CN-YN</v>
      </c>
      <c r="U41" s="241"/>
      <c r="V41" s="275">
        <f>IF(C41="",NA(),MATCH($B41&amp;$C41,'Smelter Look-up'!$J:$J,0))</f>
        <v>482</v>
      </c>
      <c r="W41" s="276"/>
      <c r="X41" s="276">
        <f t="shared" ca="1" si="7"/>
        <v>0</v>
      </c>
      <c r="Y41" s="276"/>
      <c r="Z41" s="276"/>
      <c r="AB41" s="278" t="str">
        <f t="shared" si="8"/>
        <v>TinYuntinic Resources</v>
      </c>
    </row>
    <row r="42" spans="1:28" s="277" customFormat="1" ht="76.5">
      <c r="A42" s="216"/>
      <c r="B42" s="217" t="s">
        <v>1154</v>
      </c>
      <c r="C42" s="221" t="s">
        <v>844</v>
      </c>
      <c r="D42" s="283"/>
      <c r="E42" s="217" t="str">
        <f ca="1">IF(ISERROR($V42),"",OFFSET('Smelter Look-up'!$D$4,$V42-4,0)&amp;"")</f>
        <v>MALAYSIA</v>
      </c>
      <c r="F42" s="217" t="str">
        <f ca="1">IF(ISERROR($V42),"",OFFSET('Smelter Look-up'!$E$4,$V42-4,0))</f>
        <v>CID001105</v>
      </c>
      <c r="G42" s="217" t="str">
        <f ca="1">IF(C42=$X$4,"Enter smelter details",IF(ISERROR($V42),"",OFFSET('Smelter Look-up'!$F$4,$V42-4,0)))</f>
        <v>RMI</v>
      </c>
      <c r="H42" s="218">
        <f ca="1">IF(ISERROR($V42),"",OFFSET('Smelter Look-up'!$G$4,$V42-4,0))</f>
        <v>0</v>
      </c>
      <c r="I42" s="219" t="str">
        <f ca="1">IF(ISERROR($V42),"",OFFSET('Smelter Look-up'!$H$4,$V42-4,0))</f>
        <v>Butterworth</v>
      </c>
      <c r="J42" s="219" t="str">
        <f ca="1">IF(ISERROR($V42),"",OFFSET('Smelter Look-up'!$I$4,$V42-4,0))</f>
        <v>Pulau Pinang</v>
      </c>
      <c r="K42" s="273"/>
      <c r="L42" s="273"/>
      <c r="M42" s="273"/>
      <c r="N42" s="273"/>
      <c r="O42" s="273"/>
      <c r="P42" s="220"/>
      <c r="Q42" s="274"/>
      <c r="R42" s="217" t="str">
        <f ca="1">IF(ISERROR($V42),"",OFFSET('Smelter Look-up'!$C$4,$V42-4,0)&amp;"")</f>
        <v>Malaysia Smelting Corporation (MSC)</v>
      </c>
      <c r="S42" s="225" t="str">
        <f t="shared" ca="1" si="6"/>
        <v>MY</v>
      </c>
      <c r="T42" s="225" t="str">
        <f ca="1">IF(B42="","",IF(ISERROR(MATCH($J42,SorP!$B$1:$B$6230,0)),"",INDIRECT("'SorP'!$A$"&amp;MATCH($J42,SorP!$B$1:$B$6230,0))))</f>
        <v>MY-07</v>
      </c>
      <c r="U42" s="241"/>
      <c r="V42" s="275">
        <f>IF(C42="",NA(),MATCH($B42&amp;$C42,'Smelter Look-up'!$J:$J,0))</f>
        <v>414</v>
      </c>
      <c r="W42" s="276"/>
      <c r="X42" s="276">
        <f t="shared" ca="1" si="7"/>
        <v>0</v>
      </c>
      <c r="Y42" s="276"/>
      <c r="Z42" s="276"/>
      <c r="AB42" s="278" t="str">
        <f t="shared" si="8"/>
        <v>TinMalaysia Smelting Corporation (MSC)</v>
      </c>
    </row>
    <row r="43" spans="1:28" s="277" customFormat="1" ht="76.5">
      <c r="A43" s="216"/>
      <c r="B43" s="217" t="s">
        <v>1154</v>
      </c>
      <c r="C43" s="221" t="s">
        <v>1838</v>
      </c>
      <c r="D43" s="283"/>
      <c r="E43" s="217" t="str">
        <f ca="1">IF(ISERROR($V43),"",OFFSET('Smelter Look-up'!$D$4,$V43-4,0)&amp;"")</f>
        <v>THAILAND</v>
      </c>
      <c r="F43" s="217" t="str">
        <f ca="1">IF(ISERROR($V43),"",OFFSET('Smelter Look-up'!$E$4,$V43-4,0))</f>
        <v>CID001898</v>
      </c>
      <c r="G43" s="217" t="str">
        <f ca="1">IF(C43=$X$4,"Enter smelter details",IF(ISERROR($V43),"",OFFSET('Smelter Look-up'!$F$4,$V43-4,0)))</f>
        <v>RMI</v>
      </c>
      <c r="H43" s="218">
        <f ca="1">IF(ISERROR($V43),"",OFFSET('Smelter Look-up'!$G$4,$V43-4,0))</f>
        <v>0</v>
      </c>
      <c r="I43" s="219" t="str">
        <f ca="1">IF(ISERROR($V43),"",OFFSET('Smelter Look-up'!$H$4,$V43-4,0))</f>
        <v>Amphur Muang</v>
      </c>
      <c r="J43" s="219" t="str">
        <f ca="1">IF(ISERROR($V43),"",OFFSET('Smelter Look-up'!$I$4,$V43-4,0))</f>
        <v>Phuket</v>
      </c>
      <c r="K43" s="273"/>
      <c r="L43" s="273"/>
      <c r="M43" s="273"/>
      <c r="N43" s="273"/>
      <c r="O43" s="273"/>
      <c r="P43" s="220"/>
      <c r="Q43" s="274"/>
      <c r="R43" s="217" t="str">
        <f ca="1">IF(ISERROR($V43),"",OFFSET('Smelter Look-up'!$C$4,$V43-4,0)&amp;"")</f>
        <v>Thaisarco</v>
      </c>
      <c r="S43" s="225" t="str">
        <f t="shared" ca="1" si="6"/>
        <v>TH</v>
      </c>
      <c r="T43" s="225" t="str">
        <f ca="1">IF(B43="","",IF(ISERROR(MATCH($J43,SorP!$B$1:$B$6230,0)),"",INDIRECT("'SorP'!$A$"&amp;MATCH($J43,SorP!$B$1:$B$6230,0))))</f>
        <v>TH-83</v>
      </c>
      <c r="U43" s="241"/>
      <c r="V43" s="275">
        <f>IF(C43="",NA(),MATCH($B43&amp;$C43,'Smelter Look-up'!$J:$J,0))</f>
        <v>457</v>
      </c>
      <c r="W43" s="276"/>
      <c r="X43" s="276">
        <f t="shared" ca="1" si="7"/>
        <v>0</v>
      </c>
      <c r="Y43" s="276"/>
      <c r="Z43" s="276"/>
      <c r="AB43" s="278" t="str">
        <f t="shared" si="8"/>
        <v>TinThailand Smelting &amp; Refining Co Ltd</v>
      </c>
    </row>
    <row r="44" spans="1:28" s="277" customFormat="1" ht="76.5">
      <c r="A44" s="216"/>
      <c r="B44" s="217" t="s">
        <v>1154</v>
      </c>
      <c r="C44" s="221" t="s">
        <v>1187</v>
      </c>
      <c r="D44" s="283"/>
      <c r="E44" s="217" t="str">
        <f ca="1">IF(ISERROR($V44),"",OFFSET('Smelter Look-up'!$D$4,$V44-4,0)&amp;"")</f>
        <v>JAPAN</v>
      </c>
      <c r="F44" s="217" t="str">
        <f ca="1">IF(ISERROR($V44),"",OFFSET('Smelter Look-up'!$E$4,$V44-4,0))</f>
        <v>CID001191</v>
      </c>
      <c r="G44" s="217" t="str">
        <f ca="1">IF(C44=$X$4,"Enter smelter details",IF(ISERROR($V44),"",OFFSET('Smelter Look-up'!$F$4,$V44-4,0)))</f>
        <v>RMI</v>
      </c>
      <c r="H44" s="218">
        <f ca="1">IF(ISERROR($V44),"",OFFSET('Smelter Look-up'!$G$4,$V44-4,0))</f>
        <v>0</v>
      </c>
      <c r="I44" s="219" t="str">
        <f ca="1">IF(ISERROR($V44),"",OFFSET('Smelter Look-up'!$H$4,$V44-4,0))</f>
        <v>Asago</v>
      </c>
      <c r="J44" s="219" t="str">
        <f ca="1">IF(ISERROR($V44),"",OFFSET('Smelter Look-up'!$I$4,$V44-4,0))</f>
        <v>Hyogo</v>
      </c>
      <c r="K44" s="273"/>
      <c r="L44" s="273"/>
      <c r="M44" s="273"/>
      <c r="N44" s="273"/>
      <c r="O44" s="273"/>
      <c r="P44" s="220"/>
      <c r="Q44" s="274"/>
      <c r="R44" s="217" t="str">
        <f ca="1">IF(ISERROR($V44),"",OFFSET('Smelter Look-up'!$C$4,$V44-4,0)&amp;"")</f>
        <v>Mitsubishi Materials Corporation</v>
      </c>
      <c r="S44" s="225" t="str">
        <f t="shared" ca="1" si="6"/>
        <v>JP</v>
      </c>
      <c r="T44" s="225" t="str">
        <f ca="1">IF(B44="","",IF(ISERROR(MATCH($J44,SorP!$B$1:$B$6230,0)),"",INDIRECT("'SorP'!$A$"&amp;MATCH($J44,SorP!$B$1:$B$6230,0))))</f>
        <v>JP-28</v>
      </c>
      <c r="U44" s="241"/>
      <c r="V44" s="275">
        <f>IF(C44="",NA(),MATCH($B44&amp;$C44,'Smelter Look-up'!$J:$J,0))</f>
        <v>425</v>
      </c>
      <c r="W44" s="276"/>
      <c r="X44" s="276">
        <f t="shared" ca="1" si="7"/>
        <v>0</v>
      </c>
      <c r="Y44" s="276"/>
      <c r="Z44" s="276"/>
      <c r="AB44" s="278" t="str">
        <f t="shared" si="8"/>
        <v>TinMitsubishi Materials Corporation</v>
      </c>
    </row>
    <row r="45" spans="1:28" s="277" customFormat="1" ht="51">
      <c r="A45" s="216"/>
      <c r="B45" s="217" t="s">
        <v>1154</v>
      </c>
      <c r="C45" s="221" t="s">
        <v>14151</v>
      </c>
      <c r="D45" s="283"/>
      <c r="E45" s="217" t="str">
        <f ca="1">IF(ISERROR($V45),"",OFFSET('Smelter Look-up'!$D$4,$V45-4,0)&amp;"")</f>
        <v>INDONESIA</v>
      </c>
      <c r="F45" s="217" t="str">
        <f ca="1">IF(ISERROR($V45),"",OFFSET('Smelter Look-up'!$E$4,$V45-4,0))</f>
        <v>CID001482</v>
      </c>
      <c r="G45" s="217" t="str">
        <f ca="1">IF(C45=$X$4,"Enter smelter details",IF(ISERROR($V45),"",OFFSET('Smelter Look-up'!$F$4,$V45-4,0)))</f>
        <v>RMI</v>
      </c>
      <c r="H45" s="218">
        <f ca="1">IF(ISERROR($V45),"",OFFSET('Smelter Look-up'!$G$4,$V45-4,0))</f>
        <v>0</v>
      </c>
      <c r="I45" s="219" t="str">
        <f ca="1">IF(ISERROR($V45),"",OFFSET('Smelter Look-up'!$H$4,$V45-4,0))</f>
        <v>Mentok</v>
      </c>
      <c r="J45" s="219" t="str">
        <f ca="1">IF(ISERROR($V45),"",OFFSET('Smelter Look-up'!$I$4,$V45-4,0))</f>
        <v>Kepulauan Bangka Belitung</v>
      </c>
      <c r="K45" s="273"/>
      <c r="L45" s="273"/>
      <c r="M45" s="273"/>
      <c r="N45" s="273"/>
      <c r="O45" s="273"/>
      <c r="P45" s="220"/>
      <c r="Q45" s="274"/>
      <c r="R45" s="217" t="str">
        <f ca="1">IF(ISERROR($V45),"",OFFSET('Smelter Look-up'!$C$4,$V45-4,0)&amp;"")</f>
        <v>PT Timah Tbk Mentok</v>
      </c>
      <c r="S45" s="225" t="str">
        <f t="shared" ca="1" si="6"/>
        <v>ID</v>
      </c>
      <c r="T45" s="225" t="str">
        <f ca="1">IF(B45="","",IF(ISERROR(MATCH($J45,SorP!$B$1:$B$6230,0)),"",INDIRECT("'SorP'!$A$"&amp;MATCH($J45,SorP!$B$1:$B$6230,0))))</f>
        <v>ID-BB</v>
      </c>
      <c r="U45" s="241"/>
      <c r="V45" s="275">
        <f>IF(C45="",NA(),MATCH($B45&amp;$C45,'Smelter Look-up'!$J:$J,0))</f>
        <v>446</v>
      </c>
      <c r="W45" s="276"/>
      <c r="X45" s="276">
        <f t="shared" ca="1" si="7"/>
        <v>0</v>
      </c>
      <c r="Y45" s="276"/>
      <c r="Z45" s="276"/>
      <c r="AB45" s="278" t="str">
        <f t="shared" si="8"/>
        <v>TinPT Timah Tbk Mentok</v>
      </c>
    </row>
    <row r="46" spans="1:28" s="277" customFormat="1" ht="25.5">
      <c r="A46" s="216"/>
      <c r="B46" s="217" t="s">
        <v>1154</v>
      </c>
      <c r="C46" s="221" t="s">
        <v>1057</v>
      </c>
      <c r="D46" s="283"/>
      <c r="E46" s="217" t="str">
        <f ca="1">IF(ISERROR($V46),"",OFFSET('Smelter Look-up'!$D$4,$V46-4,0)&amp;"")</f>
        <v>PERU</v>
      </c>
      <c r="F46" s="217" t="str">
        <f ca="1">IF(ISERROR($V46),"",OFFSET('Smelter Look-up'!$E$4,$V46-4,0))</f>
        <v>CID001182</v>
      </c>
      <c r="G46" s="217" t="str">
        <f ca="1">IF(C46=$X$4,"Enter smelter details",IF(ISERROR($V46),"",OFFSET('Smelter Look-up'!$F$4,$V46-4,0)))</f>
        <v>RMI</v>
      </c>
      <c r="H46" s="218">
        <f ca="1">IF(ISERROR($V46),"",OFFSET('Smelter Look-up'!$G$4,$V46-4,0))</f>
        <v>0</v>
      </c>
      <c r="I46" s="219" t="str">
        <f ca="1">IF(ISERROR($V46),"",OFFSET('Smelter Look-up'!$H$4,$V46-4,0))</f>
        <v>Paracas</v>
      </c>
      <c r="J46" s="219" t="str">
        <f ca="1">IF(ISERROR($V46),"",OFFSET('Smelter Look-up'!$I$4,$V46-4,0))</f>
        <v>Ika</v>
      </c>
      <c r="K46" s="273"/>
      <c r="L46" s="273"/>
      <c r="M46" s="273"/>
      <c r="N46" s="273"/>
      <c r="O46" s="273"/>
      <c r="P46" s="220"/>
      <c r="Q46" s="274"/>
      <c r="R46" s="217" t="str">
        <f ca="1">IF(ISERROR($V46),"",OFFSET('Smelter Look-up'!$C$4,$V46-4,0)&amp;"")</f>
        <v>Minsur</v>
      </c>
      <c r="S46" s="225" t="str">
        <f t="shared" ca="1" si="6"/>
        <v>PE</v>
      </c>
      <c r="T46" s="225" t="str">
        <f ca="1">IF(B46="","",IF(ISERROR(MATCH($J46,SorP!$B$1:$B$6230,0)),"",INDIRECT("'SorP'!$A$"&amp;MATCH($J46,SorP!$B$1:$B$6230,0))))</f>
        <v>PE-ICA</v>
      </c>
      <c r="U46" s="241"/>
      <c r="V46" s="275">
        <f>IF(C46="",NA(),MATCH($B46&amp;$C46,'Smelter Look-up'!$J:$J,0))</f>
        <v>424</v>
      </c>
      <c r="W46" s="276"/>
      <c r="X46" s="276">
        <f t="shared" ca="1" si="7"/>
        <v>0</v>
      </c>
      <c r="Y46" s="276"/>
      <c r="Z46" s="276"/>
      <c r="AB46" s="278" t="str">
        <f t="shared" si="8"/>
        <v>TinMinsur</v>
      </c>
    </row>
    <row r="47" spans="1:28" s="277" customFormat="1" ht="25.5">
      <c r="A47" s="216"/>
      <c r="B47" s="217" t="s">
        <v>1154</v>
      </c>
      <c r="C47" s="221" t="s">
        <v>1054</v>
      </c>
      <c r="D47" s="283"/>
      <c r="E47" s="217" t="str">
        <f ca="1">IF(ISERROR($V47),"",OFFSET('Smelter Look-up'!$D$4,$V47-4,0)&amp;"")</f>
        <v>THAILAND</v>
      </c>
      <c r="F47" s="217" t="str">
        <f ca="1">IF(ISERROR($V47),"",OFFSET('Smelter Look-up'!$E$4,$V47-4,0))</f>
        <v>CID001898</v>
      </c>
      <c r="G47" s="217" t="str">
        <f ca="1">IF(C47=$X$4,"Enter smelter details",IF(ISERROR($V47),"",OFFSET('Smelter Look-up'!$F$4,$V47-4,0)))</f>
        <v>RMI</v>
      </c>
      <c r="H47" s="218">
        <f ca="1">IF(ISERROR($V47),"",OFFSET('Smelter Look-up'!$G$4,$V47-4,0))</f>
        <v>0</v>
      </c>
      <c r="I47" s="219" t="str">
        <f ca="1">IF(ISERROR($V47),"",OFFSET('Smelter Look-up'!$H$4,$V47-4,0))</f>
        <v>Amphur Muang</v>
      </c>
      <c r="J47" s="219" t="str">
        <f ca="1">IF(ISERROR($V47),"",OFFSET('Smelter Look-up'!$I$4,$V47-4,0))</f>
        <v>Phuket</v>
      </c>
      <c r="K47" s="273"/>
      <c r="L47" s="273"/>
      <c r="M47" s="273"/>
      <c r="N47" s="273"/>
      <c r="O47" s="273"/>
      <c r="P47" s="220"/>
      <c r="Q47" s="274"/>
      <c r="R47" s="217" t="str">
        <f ca="1">IF(ISERROR($V47),"",OFFSET('Smelter Look-up'!$C$4,$V47-4,0)&amp;"")</f>
        <v>Thaisarco</v>
      </c>
      <c r="S47" s="225" t="str">
        <f t="shared" ca="1" si="6"/>
        <v>TH</v>
      </c>
      <c r="T47" s="225" t="str">
        <f ca="1">IF(B47="","",IF(ISERROR(MATCH($J47,SorP!$B$1:$B$6230,0)),"",INDIRECT("'SorP'!$A$"&amp;MATCH($J47,SorP!$B$1:$B$6230,0))))</f>
        <v>TH-83</v>
      </c>
      <c r="U47" s="241"/>
      <c r="V47" s="275">
        <f>IF(C47="",NA(),MATCH($B47&amp;$C47,'Smelter Look-up'!$J:$J,0))</f>
        <v>458</v>
      </c>
      <c r="W47" s="276"/>
      <c r="X47" s="276">
        <f t="shared" ca="1" si="7"/>
        <v>0</v>
      </c>
      <c r="Y47" s="276"/>
      <c r="Z47" s="276"/>
      <c r="AB47" s="278" t="str">
        <f t="shared" si="8"/>
        <v>TinThaisarco</v>
      </c>
    </row>
    <row r="48" spans="1:28" s="277" customFormat="1" ht="51">
      <c r="A48" s="216"/>
      <c r="B48" s="217" t="s">
        <v>1154</v>
      </c>
      <c r="C48" s="221" t="s">
        <v>1056</v>
      </c>
      <c r="D48" s="283"/>
      <c r="E48" s="217" t="str">
        <f ca="1">IF(ISERROR($V48),"",OFFSET('Smelter Look-up'!$D$4,$V48-4,0)&amp;"")</f>
        <v>BRAZIL</v>
      </c>
      <c r="F48" s="217" t="str">
        <f ca="1">IF(ISERROR($V48),"",OFFSET('Smelter Look-up'!$E$4,$V48-4,0))</f>
        <v>CID001173</v>
      </c>
      <c r="G48" s="217" t="str">
        <f ca="1">IF(C48=$X$4,"Enter smelter details",IF(ISERROR($V48),"",OFFSET('Smelter Look-up'!$F$4,$V48-4,0)))</f>
        <v>RMI</v>
      </c>
      <c r="H48" s="218">
        <f ca="1">IF(ISERROR($V48),"",OFFSET('Smelter Look-up'!$G$4,$V48-4,0))</f>
        <v>0</v>
      </c>
      <c r="I48" s="219" t="str">
        <f ca="1">IF(ISERROR($V48),"",OFFSET('Smelter Look-up'!$H$4,$V48-4,0))</f>
        <v>Bairro Guarapiranga</v>
      </c>
      <c r="J48" s="219" t="str">
        <f ca="1">IF(ISERROR($V48),"",OFFSET('Smelter Look-up'!$I$4,$V48-4,0))</f>
        <v>São Paulo</v>
      </c>
      <c r="K48" s="273"/>
      <c r="L48" s="273"/>
      <c r="M48" s="273"/>
      <c r="N48" s="273"/>
      <c r="O48" s="273"/>
      <c r="P48" s="220"/>
      <c r="Q48" s="274"/>
      <c r="R48" s="217" t="str">
        <f ca="1">IF(ISERROR($V48),"",OFFSET('Smelter Look-up'!$C$4,$V48-4,0)&amp;"")</f>
        <v>Mineracao Taboca S.A.</v>
      </c>
      <c r="S48" s="225" t="str">
        <f t="shared" ca="1" si="6"/>
        <v>BR</v>
      </c>
      <c r="T48" s="225" t="str">
        <f ca="1">IF(B48="","",IF(ISERROR(MATCH($J48,SorP!$B$1:$B$6230,0)),"",INDIRECT("'SorP'!$A$"&amp;MATCH($J48,SorP!$B$1:$B$6230,0))))</f>
        <v>BR-SP</v>
      </c>
      <c r="U48" s="241"/>
      <c r="V48" s="275">
        <f>IF(C48="",NA(),MATCH($B48&amp;$C48,'Smelter Look-up'!$J:$J,0))</f>
        <v>422</v>
      </c>
      <c r="W48" s="276"/>
      <c r="X48" s="276">
        <f t="shared" ca="1" si="7"/>
        <v>0</v>
      </c>
      <c r="Y48" s="276"/>
      <c r="Z48" s="276"/>
      <c r="AB48" s="278" t="str">
        <f t="shared" si="8"/>
        <v>TinMineração Taboca S.A.</v>
      </c>
    </row>
    <row r="49" spans="1:28" s="277" customFormat="1" ht="63.75">
      <c r="A49" s="216"/>
      <c r="B49" s="217" t="s">
        <v>1154</v>
      </c>
      <c r="C49" s="221" t="s">
        <v>2341</v>
      </c>
      <c r="D49" s="283"/>
      <c r="E49" s="217" t="str">
        <f ca="1">IF(ISERROR($V49),"",OFFSET('Smelter Look-up'!$D$4,$V49-4,0)&amp;"")</f>
        <v>BOLIVIA (PLURINATIONAL STATE OF)</v>
      </c>
      <c r="F49" s="217" t="str">
        <f ca="1">IF(ISERROR($V49),"",OFFSET('Smelter Look-up'!$E$4,$V49-4,0))</f>
        <v>CID000438</v>
      </c>
      <c r="G49" s="217" t="str">
        <f ca="1">IF(C49=$X$4,"Enter smelter details",IF(ISERROR($V49),"",OFFSET('Smelter Look-up'!$F$4,$V49-4,0)))</f>
        <v>RMI</v>
      </c>
      <c r="H49" s="218">
        <f ca="1">IF(ISERROR($V49),"",OFFSET('Smelter Look-up'!$G$4,$V49-4,0))</f>
        <v>0</v>
      </c>
      <c r="I49" s="219" t="str">
        <f ca="1">IF(ISERROR($V49),"",OFFSET('Smelter Look-up'!$H$4,$V49-4,0))</f>
        <v>Oruro</v>
      </c>
      <c r="J49" s="219" t="str">
        <f ca="1">IF(ISERROR($V49),"",OFFSET('Smelter Look-up'!$I$4,$V49-4,0))</f>
        <v>Oruro</v>
      </c>
      <c r="K49" s="273"/>
      <c r="L49" s="273"/>
      <c r="M49" s="273"/>
      <c r="N49" s="273"/>
      <c r="O49" s="273"/>
      <c r="P49" s="220"/>
      <c r="Q49" s="274"/>
      <c r="R49" s="217" t="str">
        <f ca="1">IF(ISERROR($V49),"",OFFSET('Smelter Look-up'!$C$4,$V49-4,0)&amp;"")</f>
        <v>EM Vinto</v>
      </c>
      <c r="S49" s="225" t="str">
        <f t="shared" ca="1" si="6"/>
        <v>BO</v>
      </c>
      <c r="T49" s="225" t="str">
        <f ca="1">IF(B49="","",IF(ISERROR(MATCH($J49,SorP!$B$1:$B$6230,0)),"",INDIRECT("'SorP'!$A$"&amp;MATCH($J49,SorP!$B$1:$B$6230,0))))</f>
        <v>BO-O</v>
      </c>
      <c r="U49" s="241"/>
      <c r="V49" s="275">
        <f>IF(C49="",NA(),MATCH($B49&amp;$C49,'Smelter Look-up'!$J:$J,0))</f>
        <v>378</v>
      </c>
      <c r="W49" s="276"/>
      <c r="X49" s="276">
        <f t="shared" ca="1" si="7"/>
        <v>0</v>
      </c>
      <c r="Y49" s="276"/>
      <c r="Z49" s="276"/>
      <c r="AB49" s="278" t="str">
        <f t="shared" si="8"/>
        <v>TinEmpresa Metalúrgica Vinto</v>
      </c>
    </row>
    <row r="50" spans="1:28" s="277" customFormat="1" ht="63.75">
      <c r="A50" s="216"/>
      <c r="B50" s="217" t="s">
        <v>1154</v>
      </c>
      <c r="C50" s="221" t="s">
        <v>2341</v>
      </c>
      <c r="D50" s="283"/>
      <c r="E50" s="217" t="str">
        <f ca="1">IF(ISERROR($V50),"",OFFSET('Smelter Look-up'!$D$4,$V50-4,0)&amp;"")</f>
        <v>BOLIVIA (PLURINATIONAL STATE OF)</v>
      </c>
      <c r="F50" s="217" t="str">
        <f ca="1">IF(ISERROR($V50),"",OFFSET('Smelter Look-up'!$E$4,$V50-4,0))</f>
        <v>CID000438</v>
      </c>
      <c r="G50" s="217" t="str">
        <f ca="1">IF(C50=$X$4,"Enter smelter details",IF(ISERROR($V50),"",OFFSET('Smelter Look-up'!$F$4,$V50-4,0)))</f>
        <v>RMI</v>
      </c>
      <c r="H50" s="218">
        <f ca="1">IF(ISERROR($V50),"",OFFSET('Smelter Look-up'!$G$4,$V50-4,0))</f>
        <v>0</v>
      </c>
      <c r="I50" s="219" t="str">
        <f ca="1">IF(ISERROR($V50),"",OFFSET('Smelter Look-up'!$H$4,$V50-4,0))</f>
        <v>Oruro</v>
      </c>
      <c r="J50" s="219" t="str">
        <f ca="1">IF(ISERROR($V50),"",OFFSET('Smelter Look-up'!$I$4,$V50-4,0))</f>
        <v>Oruro</v>
      </c>
      <c r="K50" s="273"/>
      <c r="L50" s="273"/>
      <c r="M50" s="273"/>
      <c r="N50" s="273"/>
      <c r="O50" s="273"/>
      <c r="P50" s="220"/>
      <c r="Q50" s="274"/>
      <c r="R50" s="217" t="str">
        <f ca="1">IF(ISERROR($V50),"",OFFSET('Smelter Look-up'!$C$4,$V50-4,0)&amp;"")</f>
        <v>EM Vinto</v>
      </c>
      <c r="S50" s="225" t="str">
        <f t="shared" ca="1" si="6"/>
        <v>BO</v>
      </c>
      <c r="T50" s="225" t="str">
        <f ca="1">IF(B50="","",IF(ISERROR(MATCH($J50,SorP!$B$1:$B$6230,0)),"",INDIRECT("'SorP'!$A$"&amp;MATCH($J50,SorP!$B$1:$B$6230,0))))</f>
        <v>BO-O</v>
      </c>
      <c r="U50" s="241"/>
      <c r="V50" s="275">
        <f>IF(C50="",NA(),MATCH($B50&amp;$C50,'Smelter Look-up'!$J:$J,0))</f>
        <v>378</v>
      </c>
      <c r="W50" s="276"/>
      <c r="X50" s="276">
        <f t="shared" ca="1" si="7"/>
        <v>0</v>
      </c>
      <c r="Y50" s="276"/>
      <c r="Z50" s="276"/>
      <c r="AB50" s="278" t="str">
        <f t="shared" si="8"/>
        <v>TinEmpresa Metalúrgica Vinto</v>
      </c>
    </row>
    <row r="51" spans="1:28" s="277" customFormat="1" ht="51">
      <c r="A51" s="216"/>
      <c r="B51" s="217" t="s">
        <v>1154</v>
      </c>
      <c r="C51" s="221" t="s">
        <v>13267</v>
      </c>
      <c r="D51" s="283"/>
      <c r="E51" s="217" t="str">
        <f ca="1">IF(ISERROR($V51),"",OFFSET('Smelter Look-up'!$D$4,$V51-4,0)&amp;"")</f>
        <v>BELGIUM</v>
      </c>
      <c r="F51" s="217" t="str">
        <f ca="1">IF(ISERROR($V51),"",OFFSET('Smelter Look-up'!$E$4,$V51-4,0))</f>
        <v>CID002773</v>
      </c>
      <c r="G51" s="217" t="str">
        <f ca="1">IF(C51=$X$4,"Enter smelter details",IF(ISERROR($V51),"",OFFSET('Smelter Look-up'!$F$4,$V51-4,0)))</f>
        <v>RMI</v>
      </c>
      <c r="H51" s="218">
        <f ca="1">IF(ISERROR($V51),"",OFFSET('Smelter Look-up'!$G$4,$V51-4,0))</f>
        <v>0</v>
      </c>
      <c r="I51" s="219" t="str">
        <f ca="1">IF(ISERROR($V51),"",OFFSET('Smelter Look-up'!$H$4,$V51-4,0))</f>
        <v>Beerse</v>
      </c>
      <c r="J51" s="219" t="str">
        <f ca="1">IF(ISERROR($V51),"",OFFSET('Smelter Look-up'!$I$4,$V51-4,0))</f>
        <v>Antwerpen</v>
      </c>
      <c r="K51" s="273"/>
      <c r="L51" s="273"/>
      <c r="M51" s="273"/>
      <c r="N51" s="273"/>
      <c r="O51" s="273"/>
      <c r="P51" s="220"/>
      <c r="Q51" s="274"/>
      <c r="R51" s="217" t="str">
        <f ca="1">IF(ISERROR($V51),"",OFFSET('Smelter Look-up'!$C$4,$V51-4,0)&amp;"")</f>
        <v>Metallo Belgium N.V.</v>
      </c>
      <c r="S51" s="225" t="str">
        <f t="shared" ca="1" si="6"/>
        <v>BE</v>
      </c>
      <c r="T51" s="225" t="str">
        <f ca="1">IF(B51="","",IF(ISERROR(MATCH($J51,SorP!$B$1:$B$6230,0)),"",INDIRECT("'SorP'!$A$"&amp;MATCH($J51,SorP!$B$1:$B$6230,0))))</f>
        <v>BE-VAN</v>
      </c>
      <c r="U51" s="241"/>
      <c r="V51" s="275">
        <f>IF(C51="",NA(),MATCH($B51&amp;$C51,'Smelter Look-up'!$J:$J,0))</f>
        <v>419</v>
      </c>
      <c r="W51" s="276"/>
      <c r="X51" s="276">
        <f t="shared" ca="1" si="7"/>
        <v>0</v>
      </c>
      <c r="Y51" s="276"/>
      <c r="Z51" s="276"/>
      <c r="AB51" s="278" t="str">
        <f t="shared" si="8"/>
        <v>TinMetallo Belgium N.V.</v>
      </c>
    </row>
    <row r="52" spans="1:28" s="277" customFormat="1" ht="51">
      <c r="A52" s="216"/>
      <c r="B52" s="217" t="s">
        <v>1154</v>
      </c>
      <c r="C52" s="221" t="s">
        <v>14152</v>
      </c>
      <c r="D52" s="283"/>
      <c r="E52" s="217" t="str">
        <f ca="1">IF(ISERROR($V52),"",OFFSET('Smelter Look-up'!$D$4,$V52-4,0)&amp;"")</f>
        <v>INDONESIA</v>
      </c>
      <c r="F52" s="217" t="str">
        <f ca="1">IF(ISERROR($V52),"",OFFSET('Smelter Look-up'!$E$4,$V52-4,0))</f>
        <v>CID001477</v>
      </c>
      <c r="G52" s="217" t="str">
        <f ca="1">IF(C52=$X$4,"Enter smelter details",IF(ISERROR($V52),"",OFFSET('Smelter Look-up'!$F$4,$V52-4,0)))</f>
        <v>RMI</v>
      </c>
      <c r="H52" s="218">
        <f ca="1">IF(ISERROR($V52),"",OFFSET('Smelter Look-up'!$G$4,$V52-4,0))</f>
        <v>0</v>
      </c>
      <c r="I52" s="219" t="str">
        <f ca="1">IF(ISERROR($V52),"",OFFSET('Smelter Look-up'!$H$4,$V52-4,0))</f>
        <v>Kundur</v>
      </c>
      <c r="J52" s="219" t="str">
        <f ca="1">IF(ISERROR($V52),"",OFFSET('Smelter Look-up'!$I$4,$V52-4,0))</f>
        <v>Riau</v>
      </c>
      <c r="K52" s="273"/>
      <c r="L52" s="273"/>
      <c r="M52" s="273"/>
      <c r="N52" s="273"/>
      <c r="O52" s="273"/>
      <c r="P52" s="220"/>
      <c r="Q52" s="274"/>
      <c r="R52" s="217" t="str">
        <f ca="1">IF(ISERROR($V52),"",OFFSET('Smelter Look-up'!$C$4,$V52-4,0)&amp;"")</f>
        <v>PT Timah Tbk Kundur</v>
      </c>
      <c r="S52" s="225" t="str">
        <f t="shared" ca="1" si="6"/>
        <v>ID</v>
      </c>
      <c r="T52" s="225" t="str">
        <f ca="1">IF(B52="","",IF(ISERROR(MATCH($J52,SorP!$B$1:$B$6230,0)),"",INDIRECT("'SorP'!$A$"&amp;MATCH($J52,SorP!$B$1:$B$6230,0))))</f>
        <v>ID-RI</v>
      </c>
      <c r="U52" s="241"/>
      <c r="V52" s="275">
        <f>IF(C52="",NA(),MATCH($B52&amp;$C52,'Smelter Look-up'!$J:$J,0))</f>
        <v>445</v>
      </c>
      <c r="W52" s="276"/>
      <c r="X52" s="276">
        <f t="shared" ca="1" si="7"/>
        <v>0</v>
      </c>
      <c r="Y52" s="276"/>
      <c r="Z52" s="276"/>
      <c r="AB52" s="278" t="str">
        <f t="shared" si="8"/>
        <v>TinPT Timah Tbk Kundur</v>
      </c>
    </row>
    <row r="53" spans="1:28" s="277" customFormat="1" ht="63.75">
      <c r="A53" s="216"/>
      <c r="B53" s="217" t="s">
        <v>1154</v>
      </c>
      <c r="C53" s="221" t="s">
        <v>14155</v>
      </c>
      <c r="D53" s="283"/>
      <c r="E53" s="217" t="str">
        <f ca="1">IF(ISERROR($V53),"",OFFSET('Smelter Look-up'!$D$4,$V53-4,0)&amp;"")</f>
        <v>BOLIVIA (PLURINATIONAL STATE OF)</v>
      </c>
      <c r="F53" s="217" t="str">
        <f ca="1">IF(ISERROR($V53),"",OFFSET('Smelter Look-up'!$E$4,$V53-4,0))</f>
        <v>CID001337</v>
      </c>
      <c r="G53" s="217" t="str">
        <f ca="1">IF(C53=$X$4,"Enter smelter details",IF(ISERROR($V53),"",OFFSET('Smelter Look-up'!$F$4,$V53-4,0)))</f>
        <v>RMI</v>
      </c>
      <c r="H53" s="218">
        <f ca="1">IF(ISERROR($V53),"",OFFSET('Smelter Look-up'!$G$4,$V53-4,0))</f>
        <v>0</v>
      </c>
      <c r="I53" s="219" t="str">
        <f ca="1">IF(ISERROR($V53),"",OFFSET('Smelter Look-up'!$H$4,$V53-4,0))</f>
        <v>Oruro</v>
      </c>
      <c r="J53" s="219" t="str">
        <f ca="1">IF(ISERROR($V53),"",OFFSET('Smelter Look-up'!$I$4,$V53-4,0))</f>
        <v>Oruro</v>
      </c>
      <c r="K53" s="273"/>
      <c r="L53" s="273"/>
      <c r="M53" s="273"/>
      <c r="N53" s="273"/>
      <c r="O53" s="273"/>
      <c r="P53" s="220"/>
      <c r="Q53" s="274"/>
      <c r="R53" s="217" t="str">
        <f ca="1">IF(ISERROR($V53),"",OFFSET('Smelter Look-up'!$C$4,$V53-4,0)&amp;"")</f>
        <v>Operaciones Metalurgicas S.A.</v>
      </c>
      <c r="S53" s="225" t="str">
        <f t="shared" ca="1" si="6"/>
        <v>BO</v>
      </c>
      <c r="T53" s="225" t="str">
        <f ca="1">IF(B53="","",IF(ISERROR(MATCH($J53,SorP!$B$1:$B$6230,0)),"",INDIRECT("'SorP'!$A$"&amp;MATCH($J53,SorP!$B$1:$B$6230,0))))</f>
        <v>BO-O</v>
      </c>
      <c r="U53" s="241"/>
      <c r="V53" s="275">
        <f>IF(C53="",NA(),MATCH($B53&amp;$C53,'Smelter Look-up'!$J:$J,0))</f>
        <v>434</v>
      </c>
      <c r="W53" s="276"/>
      <c r="X53" s="276">
        <f t="shared" ca="1" si="7"/>
        <v>0</v>
      </c>
      <c r="Y53" s="276"/>
      <c r="Z53" s="276"/>
      <c r="AB53" s="278" t="str">
        <f t="shared" si="8"/>
        <v>TinOperaciones Metalurgicas S.A.</v>
      </c>
    </row>
    <row r="54" spans="1:28" s="277" customFormat="1" ht="25.5">
      <c r="A54" s="216"/>
      <c r="B54" s="217" t="s">
        <v>1154</v>
      </c>
      <c r="C54" s="221" t="s">
        <v>1801</v>
      </c>
      <c r="D54" s="283"/>
      <c r="E54" s="217" t="str">
        <f ca="1">IF(ISERROR($V54),"",OFFSET('Smelter Look-up'!$D$4,$V54-4,0)&amp;"")</f>
        <v>UNITED STATES OF AMERICA</v>
      </c>
      <c r="F54" s="217" t="str">
        <f ca="1">IF(ISERROR($V54),"",OFFSET('Smelter Look-up'!$E$4,$V54-4,0))</f>
        <v>CID000292</v>
      </c>
      <c r="G54" s="217" t="str">
        <f ca="1">IF(C54=$X$4,"Enter smelter details",IF(ISERROR($V54),"",OFFSET('Smelter Look-up'!$F$4,$V54-4,0)))</f>
        <v>RMI</v>
      </c>
      <c r="H54" s="218">
        <f ca="1">IF(ISERROR($V54),"",OFFSET('Smelter Look-up'!$G$4,$V54-4,0))</f>
        <v>0</v>
      </c>
      <c r="I54" s="219" t="str">
        <f ca="1">IF(ISERROR($V54),"",OFFSET('Smelter Look-up'!$H$4,$V54-4,0))</f>
        <v>Altoona</v>
      </c>
      <c r="J54" s="219" t="str">
        <f ca="1">IF(ISERROR($V54),"",OFFSET('Smelter Look-up'!$I$4,$V54-4,0))</f>
        <v>Pennsylvania</v>
      </c>
      <c r="K54" s="273"/>
      <c r="L54" s="273"/>
      <c r="M54" s="273"/>
      <c r="N54" s="273"/>
      <c r="O54" s="273"/>
      <c r="P54" s="220"/>
      <c r="Q54" s="274"/>
      <c r="R54" s="217" t="str">
        <f ca="1">IF(ISERROR($V54),"",OFFSET('Smelter Look-up'!$C$4,$V54-4,0)&amp;"")</f>
        <v>Alpha</v>
      </c>
      <c r="S54" s="225" t="str">
        <f t="shared" ca="1" si="6"/>
        <v>US</v>
      </c>
      <c r="T54" s="225" t="str">
        <f ca="1">IF(B54="","",IF(ISERROR(MATCH($J54,SorP!$B$1:$B$6230,0)),"",INDIRECT("'SorP'!$A$"&amp;MATCH($J54,SorP!$B$1:$B$6230,0))))</f>
        <v>US-PA</v>
      </c>
      <c r="U54" s="241"/>
      <c r="V54" s="275">
        <f>IF(C54="",NA(),MATCH($B54&amp;$C54,'Smelter Look-up'!$J:$J,0))</f>
        <v>357</v>
      </c>
      <c r="W54" s="276"/>
      <c r="X54" s="276">
        <f t="shared" ca="1" si="7"/>
        <v>0</v>
      </c>
      <c r="Y54" s="276"/>
      <c r="Z54" s="276"/>
      <c r="AB54" s="278" t="str">
        <f t="shared" si="8"/>
        <v>TinAlpha Metals</v>
      </c>
    </row>
    <row r="55" spans="1:28" s="277" customFormat="1" ht="25.5">
      <c r="A55" s="216"/>
      <c r="B55" s="217" t="s">
        <v>1154</v>
      </c>
      <c r="C55" s="221" t="s">
        <v>836</v>
      </c>
      <c r="D55" s="283"/>
      <c r="E55" s="217" t="str">
        <f ca="1">IF(ISERROR($V55),"",OFFSET('Smelter Look-up'!$D$4,$V55-4,0)&amp;"")</f>
        <v>POLAND</v>
      </c>
      <c r="F55" s="217" t="str">
        <f ca="1">IF(ISERROR($V55),"",OFFSET('Smelter Look-up'!$E$4,$V55-4,0))</f>
        <v>CID000468</v>
      </c>
      <c r="G55" s="217" t="str">
        <f ca="1">IF(C55=$X$4,"Enter smelter details",IF(ISERROR($V55),"",OFFSET('Smelter Look-up'!$F$4,$V55-4,0)))</f>
        <v>RMI</v>
      </c>
      <c r="H55" s="218">
        <f ca="1">IF(ISERROR($V55),"",OFFSET('Smelter Look-up'!$G$4,$V55-4,0))</f>
        <v>0</v>
      </c>
      <c r="I55" s="219" t="str">
        <f ca="1">IF(ISERROR($V55),"",OFFSET('Smelter Look-up'!$H$4,$V55-4,0))</f>
        <v>Chmielów</v>
      </c>
      <c r="J55" s="219" t="str">
        <f ca="1">IF(ISERROR($V55),"",OFFSET('Smelter Look-up'!$I$4,$V55-4,0))</f>
        <v>Podkarpackie</v>
      </c>
      <c r="K55" s="273"/>
      <c r="L55" s="273"/>
      <c r="M55" s="273"/>
      <c r="N55" s="273"/>
      <c r="O55" s="273"/>
      <c r="P55" s="220"/>
      <c r="Q55" s="274"/>
      <c r="R55" s="217" t="str">
        <f ca="1">IF(ISERROR($V55),"",OFFSET('Smelter Look-up'!$C$4,$V55-4,0)&amp;"")</f>
        <v>Fenix Metals</v>
      </c>
      <c r="S55" s="225" t="str">
        <f t="shared" ca="1" si="6"/>
        <v>PL</v>
      </c>
      <c r="T55" s="225" t="str">
        <f ca="1">IF(B55="","",IF(ISERROR(MATCH($J55,SorP!$B$1:$B$6230,0)),"",INDIRECT("'SorP'!$A$"&amp;MATCH($J55,SorP!$B$1:$B$6230,0))))</f>
        <v>PL-18</v>
      </c>
      <c r="U55" s="241"/>
      <c r="V55" s="275">
        <f>IF(C55="",NA(),MATCH($B55&amp;$C55,'Smelter Look-up'!$J:$J,0))</f>
        <v>383</v>
      </c>
      <c r="W55" s="276"/>
      <c r="X55" s="276">
        <f t="shared" ca="1" si="7"/>
        <v>0</v>
      </c>
      <c r="Y55" s="276"/>
      <c r="Z55" s="276"/>
      <c r="AB55" s="278" t="str">
        <f t="shared" si="8"/>
        <v>TinFenix Metals</v>
      </c>
    </row>
    <row r="56" spans="1:28" s="277" customFormat="1" ht="51">
      <c r="A56" s="216"/>
      <c r="B56" s="217" t="s">
        <v>1154</v>
      </c>
      <c r="C56" s="221" t="s">
        <v>643</v>
      </c>
      <c r="D56" s="283"/>
      <c r="E56" s="217" t="str">
        <f ca="1">IF(ISERROR($V56),"",OFFSET('Smelter Look-up'!$D$4,$V56-4,0)&amp;"")</f>
        <v>INDONESIA</v>
      </c>
      <c r="F56" s="217" t="str">
        <f ca="1">IF(ISERROR($V56),"",OFFSET('Smelter Look-up'!$E$4,$V56-4,0))</f>
        <v>CID001453</v>
      </c>
      <c r="G56" s="217" t="str">
        <f ca="1">IF(C56=$X$4,"Enter smelter details",IF(ISERROR($V56),"",OFFSET('Smelter Look-up'!$F$4,$V56-4,0)))</f>
        <v>RMI</v>
      </c>
      <c r="H56" s="218">
        <f ca="1">IF(ISERROR($V56),"",OFFSET('Smelter Look-up'!$G$4,$V56-4,0))</f>
        <v>0</v>
      </c>
      <c r="I56" s="219" t="str">
        <f ca="1">IF(ISERROR($V56),"",OFFSET('Smelter Look-up'!$H$4,$V56-4,0))</f>
        <v>Sungailiat</v>
      </c>
      <c r="J56" s="219" t="str">
        <f ca="1">IF(ISERROR($V56),"",OFFSET('Smelter Look-up'!$I$4,$V56-4,0))</f>
        <v>Kepulauan Bangka Belitung</v>
      </c>
      <c r="K56" s="273"/>
      <c r="L56" s="273"/>
      <c r="M56" s="273"/>
      <c r="N56" s="273"/>
      <c r="O56" s="273"/>
      <c r="P56" s="220"/>
      <c r="Q56" s="274"/>
      <c r="R56" s="217" t="str">
        <f ca="1">IF(ISERROR($V56),"",OFFSET('Smelter Look-up'!$C$4,$V56-4,0)&amp;"")</f>
        <v>PT Mitra Stania Prima</v>
      </c>
      <c r="S56" s="225" t="str">
        <f t="shared" ca="1" si="6"/>
        <v>ID</v>
      </c>
      <c r="T56" s="225" t="str">
        <f ca="1">IF(B56="","",IF(ISERROR(MATCH($J56,SorP!$B$1:$B$6230,0)),"",INDIRECT("'SorP'!$A$"&amp;MATCH($J56,SorP!$B$1:$B$6230,0))))</f>
        <v>ID-BB</v>
      </c>
      <c r="U56" s="241"/>
      <c r="V56" s="275">
        <f>IF(C56="",NA(),MATCH($B56&amp;$C56,'Smelter Look-up'!$J:$J,0))</f>
        <v>441</v>
      </c>
      <c r="W56" s="276"/>
      <c r="X56" s="276">
        <f t="shared" ca="1" si="7"/>
        <v>0</v>
      </c>
      <c r="Y56" s="276"/>
      <c r="Z56" s="276"/>
      <c r="AB56" s="278" t="str">
        <f t="shared" si="8"/>
        <v>TinPT Mitra Stania Prima</v>
      </c>
    </row>
    <row r="57" spans="1:28" s="277" customFormat="1" ht="51">
      <c r="A57" s="216"/>
      <c r="B57" s="217" t="s">
        <v>1154</v>
      </c>
      <c r="C57" s="221" t="s">
        <v>1843</v>
      </c>
      <c r="D57" s="283"/>
      <c r="E57" s="217" t="str">
        <f ca="1">IF(ISERROR($V57),"",OFFSET('Smelter Look-up'!$D$4,$V57-4,0)&amp;"")</f>
        <v>BRAZIL</v>
      </c>
      <c r="F57" s="217" t="str">
        <f ca="1">IF(ISERROR($V57),"",OFFSET('Smelter Look-up'!$E$4,$V57-4,0))</f>
        <v>CID002036</v>
      </c>
      <c r="G57" s="217" t="str">
        <f ca="1">IF(C57=$X$4,"Enter smelter details",IF(ISERROR($V57),"",OFFSET('Smelter Look-up'!$F$4,$V57-4,0)))</f>
        <v>RMI</v>
      </c>
      <c r="H57" s="218">
        <f ca="1">IF(ISERROR($V57),"",OFFSET('Smelter Look-up'!$G$4,$V57-4,0))</f>
        <v>0</v>
      </c>
      <c r="I57" s="219" t="str">
        <f ca="1">IF(ISERROR($V57),"",OFFSET('Smelter Look-up'!$H$4,$V57-4,0))</f>
        <v>Ariquemes</v>
      </c>
      <c r="J57" s="219" t="str">
        <f ca="1">IF(ISERROR($V57),"",OFFSET('Smelter Look-up'!$I$4,$V57-4,0))</f>
        <v>Rondônia</v>
      </c>
      <c r="K57" s="273"/>
      <c r="L57" s="273"/>
      <c r="M57" s="273"/>
      <c r="N57" s="273"/>
      <c r="O57" s="273"/>
      <c r="P57" s="220"/>
      <c r="Q57" s="274"/>
      <c r="R57" s="217" t="str">
        <f ca="1">IF(ISERROR($V57),"",OFFSET('Smelter Look-up'!$C$4,$V57-4,0)&amp;"")</f>
        <v>White Solder Metalurgia e Mineracao Ltda.</v>
      </c>
      <c r="S57" s="225" t="str">
        <f t="shared" ca="1" si="6"/>
        <v>BR</v>
      </c>
      <c r="T57" s="225" t="str">
        <f ca="1">IF(B57="","",IF(ISERROR(MATCH($J57,SorP!$B$1:$B$6230,0)),"",INDIRECT("'SorP'!$A$"&amp;MATCH($J57,SorP!$B$1:$B$6230,0))))</f>
        <v>BR-RO</v>
      </c>
      <c r="U57" s="241"/>
      <c r="V57" s="275">
        <f>IF(C57="",NA(),MATCH($B57&amp;$C57,'Smelter Look-up'!$J:$J,0))</f>
        <v>467</v>
      </c>
      <c r="W57" s="276"/>
      <c r="X57" s="276">
        <f t="shared" ca="1" si="7"/>
        <v>0</v>
      </c>
      <c r="Y57" s="276"/>
      <c r="Z57" s="276"/>
      <c r="AB57" s="278" t="str">
        <f t="shared" si="8"/>
        <v>TinWhite Solder Metalurgica</v>
      </c>
    </row>
    <row r="58" spans="1:28" s="277" customFormat="1" ht="38.25">
      <c r="A58" s="216"/>
      <c r="B58" s="217" t="s">
        <v>1154</v>
      </c>
      <c r="C58" s="221" t="s">
        <v>1055</v>
      </c>
      <c r="D58" s="283"/>
      <c r="E58" s="217" t="str">
        <f ca="1">IF(ISERROR($V58),"",OFFSET('Smelter Look-up'!$D$4,$V58-4,0)&amp;"")</f>
        <v>INDONESIA</v>
      </c>
      <c r="F58" s="217" t="str">
        <f ca="1">IF(ISERROR($V58),"",OFFSET('Smelter Look-up'!$E$4,$V58-4,0))</f>
        <v>CID001477</v>
      </c>
      <c r="G58" s="217" t="str">
        <f ca="1">IF(C58=$X$4,"Enter smelter details",IF(ISERROR($V58),"",OFFSET('Smelter Look-up'!$F$4,$V58-4,0)))</f>
        <v>RMI</v>
      </c>
      <c r="H58" s="218">
        <f ca="1">IF(ISERROR($V58),"",OFFSET('Smelter Look-up'!$G$4,$V58-4,0))</f>
        <v>0</v>
      </c>
      <c r="I58" s="219" t="str">
        <f ca="1">IF(ISERROR($V58),"",OFFSET('Smelter Look-up'!$H$4,$V58-4,0))</f>
        <v>Kundur</v>
      </c>
      <c r="J58" s="219" t="str">
        <f ca="1">IF(ISERROR($V58),"",OFFSET('Smelter Look-up'!$I$4,$V58-4,0))</f>
        <v>Riau</v>
      </c>
      <c r="K58" s="273"/>
      <c r="L58" s="273"/>
      <c r="M58" s="273"/>
      <c r="N58" s="273"/>
      <c r="O58" s="273"/>
      <c r="P58" s="220"/>
      <c r="Q58" s="274"/>
      <c r="R58" s="217" t="str">
        <f ca="1">IF(ISERROR($V58),"",OFFSET('Smelter Look-up'!$C$4,$V58-4,0)&amp;"")</f>
        <v>PT Timah Tbk Kundur</v>
      </c>
      <c r="S58" s="225" t="str">
        <f t="shared" ca="1" si="6"/>
        <v>ID</v>
      </c>
      <c r="T58" s="225" t="str">
        <f ca="1">IF(B58="","",IF(ISERROR(MATCH($J58,SorP!$B$1:$B$6230,0)),"",INDIRECT("'SorP'!$A$"&amp;MATCH($J58,SorP!$B$1:$B$6230,0))))</f>
        <v>ID-RI</v>
      </c>
      <c r="U58" s="241"/>
      <c r="V58" s="275">
        <f>IF(C58="",NA(),MATCH($B58&amp;$C58,'Smelter Look-up'!$J:$J,0))</f>
        <v>444</v>
      </c>
      <c r="W58" s="276"/>
      <c r="X58" s="276">
        <f t="shared" ca="1" si="7"/>
        <v>0</v>
      </c>
      <c r="Y58" s="276"/>
      <c r="Z58" s="276"/>
      <c r="AB58" s="278" t="str">
        <f t="shared" si="8"/>
        <v>TinPT Tambang Timah</v>
      </c>
    </row>
    <row r="59" spans="1:28" s="277" customFormat="1" ht="51">
      <c r="A59" s="216"/>
      <c r="B59" s="217" t="s">
        <v>1154</v>
      </c>
      <c r="C59" s="221" t="s">
        <v>2468</v>
      </c>
      <c r="D59" s="283"/>
      <c r="E59" s="217" t="str">
        <f ca="1">IF(ISERROR($V59),"",OFFSET('Smelter Look-up'!$D$4,$V59-4,0)&amp;"")</f>
        <v>BRAZIL</v>
      </c>
      <c r="F59" s="217" t="str">
        <f ca="1">IF(ISERROR($V59),"",OFFSET('Smelter Look-up'!$E$4,$V59-4,0))</f>
        <v>CID002500</v>
      </c>
      <c r="G59" s="217" t="str">
        <f ca="1">IF(C59=$X$4,"Enter smelter details",IF(ISERROR($V59),"",OFFSET('Smelter Look-up'!$F$4,$V59-4,0)))</f>
        <v>RMI</v>
      </c>
      <c r="H59" s="218">
        <f ca="1">IF(ISERROR($V59),"",OFFSET('Smelter Look-up'!$G$4,$V59-4,0))</f>
        <v>0</v>
      </c>
      <c r="I59" s="219" t="str">
        <f ca="1">IF(ISERROR($V59),"",OFFSET('Smelter Look-up'!$H$4,$V59-4,0))</f>
        <v>Ariquemes</v>
      </c>
      <c r="J59" s="219" t="str">
        <f ca="1">IF(ISERROR($V59),"",OFFSET('Smelter Look-up'!$I$4,$V59-4,0))</f>
        <v>Rondônia</v>
      </c>
      <c r="K59" s="273"/>
      <c r="L59" s="273"/>
      <c r="M59" s="273"/>
      <c r="N59" s="273"/>
      <c r="O59" s="273"/>
      <c r="P59" s="220"/>
      <c r="Q59" s="274"/>
      <c r="R59" s="217" t="str">
        <f ca="1">IF(ISERROR($V59),"",OFFSET('Smelter Look-up'!$C$4,$V59-4,0)&amp;"")</f>
        <v>Melt Metais e Ligas S.A.</v>
      </c>
      <c r="S59" s="225" t="str">
        <f t="shared" ca="1" si="6"/>
        <v>BR</v>
      </c>
      <c r="T59" s="225" t="str">
        <f ca="1">IF(B59="","",IF(ISERROR(MATCH($J59,SorP!$B$1:$B$6230,0)),"",INDIRECT("'SorP'!$A$"&amp;MATCH($J59,SorP!$B$1:$B$6230,0))))</f>
        <v>BR-RO</v>
      </c>
      <c r="U59" s="241"/>
      <c r="V59" s="275">
        <f>IF(C59="",NA(),MATCH($B59&amp;$C59,'Smelter Look-up'!$J:$J,0))</f>
        <v>415</v>
      </c>
      <c r="W59" s="276"/>
      <c r="X59" s="276">
        <f t="shared" ca="1" si="7"/>
        <v>0</v>
      </c>
      <c r="Y59" s="276"/>
      <c r="Z59" s="276"/>
      <c r="AB59" s="278" t="str">
        <f t="shared" si="8"/>
        <v>TinMelt Metais e Ligas S.A.</v>
      </c>
    </row>
    <row r="60" spans="1:28" s="277" customFormat="1" ht="38.25">
      <c r="A60" s="216"/>
      <c r="B60" s="217" t="s">
        <v>1154</v>
      </c>
      <c r="C60" s="221" t="s">
        <v>2267</v>
      </c>
      <c r="D60" s="283"/>
      <c r="E60" s="217" t="str">
        <f ca="1">IF(ISERROR($V60),"",OFFSET('Smelter Look-up'!$D$4,$V60-4,0)&amp;"")</f>
        <v>BRAZIL</v>
      </c>
      <c r="F60" s="217" t="str">
        <f ca="1">IF(ISERROR($V60),"",OFFSET('Smelter Look-up'!$E$4,$V60-4,0))</f>
        <v>CID001758</v>
      </c>
      <c r="G60" s="217" t="str">
        <f ca="1">IF(C60=$X$4,"Enter smelter details",IF(ISERROR($V60),"",OFFSET('Smelter Look-up'!$F$4,$V60-4,0)))</f>
        <v>RMI</v>
      </c>
      <c r="H60" s="218">
        <f ca="1">IF(ISERROR($V60),"",OFFSET('Smelter Look-up'!$G$4,$V60-4,0))</f>
        <v>0</v>
      </c>
      <c r="I60" s="219" t="str">
        <f ca="1">IF(ISERROR($V60),"",OFFSET('Smelter Look-up'!$H$4,$V60-4,0))</f>
        <v>Bebedouro</v>
      </c>
      <c r="J60" s="219" t="str">
        <f ca="1">IF(ISERROR($V60),"",OFFSET('Smelter Look-up'!$I$4,$V60-4,0))</f>
        <v>São Paulo</v>
      </c>
      <c r="K60" s="273"/>
      <c r="L60" s="273"/>
      <c r="M60" s="273"/>
      <c r="N60" s="273"/>
      <c r="O60" s="273"/>
      <c r="P60" s="220"/>
      <c r="Q60" s="274"/>
      <c r="R60" s="217" t="str">
        <f ca="1">IF(ISERROR($V60),"",OFFSET('Smelter Look-up'!$C$4,$V60-4,0)&amp;"")</f>
        <v>Soft Metais Ltda.</v>
      </c>
      <c r="S60" s="225" t="str">
        <f t="shared" ca="1" si="6"/>
        <v>BR</v>
      </c>
      <c r="T60" s="225" t="str">
        <f ca="1">IF(B60="","",IF(ISERROR(MATCH($J60,SorP!$B$1:$B$6230,0)),"",INDIRECT("'SorP'!$A$"&amp;MATCH($J60,SorP!$B$1:$B$6230,0))))</f>
        <v>BR-SP</v>
      </c>
      <c r="U60" s="241"/>
      <c r="V60" s="275">
        <f>IF(C60="",NA(),MATCH($B60&amp;$C60,'Smelter Look-up'!$J:$J,0))</f>
        <v>453</v>
      </c>
      <c r="W60" s="276"/>
      <c r="X60" s="276">
        <f t="shared" ca="1" si="7"/>
        <v>0</v>
      </c>
      <c r="Y60" s="276"/>
      <c r="Z60" s="276"/>
      <c r="AB60" s="278" t="str">
        <f t="shared" si="8"/>
        <v>TinSoft Metais Ltda.</v>
      </c>
    </row>
    <row r="61" spans="1:28" s="277" customFormat="1" ht="89.25">
      <c r="A61" s="216"/>
      <c r="B61" s="217" t="s">
        <v>1154</v>
      </c>
      <c r="C61" s="221" t="s">
        <v>2248</v>
      </c>
      <c r="D61" s="283"/>
      <c r="E61" s="217" t="str">
        <f ca="1">IF(ISERROR($V61),"",OFFSET('Smelter Look-up'!$D$4,$V61-4,0)&amp;"")</f>
        <v>CHINA</v>
      </c>
      <c r="F61" s="217" t="str">
        <f ca="1">IF(ISERROR($V61),"",OFFSET('Smelter Look-up'!$E$4,$V61-4,0))</f>
        <v>CID000538</v>
      </c>
      <c r="G61" s="217" t="str">
        <f ca="1">IF(C61=$X$4,"Enter smelter details",IF(ISERROR($V61),"",OFFSET('Smelter Look-up'!$F$4,$V61-4,0)))</f>
        <v>RMI</v>
      </c>
      <c r="H61" s="218">
        <f ca="1">IF(ISERROR($V61),"",OFFSET('Smelter Look-up'!$G$4,$V61-4,0))</f>
        <v>0</v>
      </c>
      <c r="I61" s="219" t="str">
        <f ca="1">IF(ISERROR($V61),"",OFFSET('Smelter Look-up'!$H$4,$V61-4,0))</f>
        <v>Gejiu</v>
      </c>
      <c r="J61" s="219" t="str">
        <f ca="1">IF(ISERROR($V61),"",OFFSET('Smelter Look-up'!$I$4,$V61-4,0))</f>
        <v>Yunnan Sheng</v>
      </c>
      <c r="K61" s="273"/>
      <c r="L61" s="273"/>
      <c r="M61" s="273"/>
      <c r="N61" s="273"/>
      <c r="O61" s="273"/>
      <c r="P61" s="220"/>
      <c r="Q61" s="274"/>
      <c r="R61" s="217" t="str">
        <f ca="1">IF(ISERROR($V61),"",OFFSET('Smelter Look-up'!$C$4,$V61-4,0)&amp;"")</f>
        <v>Gejiu Non-Ferrous Metal Processing Co., Ltd.</v>
      </c>
      <c r="S61" s="225" t="str">
        <f t="shared" ca="1" si="6"/>
        <v>CN</v>
      </c>
      <c r="T61" s="225" t="str">
        <f ca="1">IF(B61="","",IF(ISERROR(MATCH($J61,SorP!$B$1:$B$6230,0)),"",INDIRECT("'SorP'!$A$"&amp;MATCH($J61,SorP!$B$1:$B$6230,0))))</f>
        <v>CN-YN</v>
      </c>
      <c r="U61" s="241"/>
      <c r="V61" s="275">
        <f>IF(C61="",NA(),MATCH($B61&amp;$C61,'Smelter Look-up'!$J:$J,0))</f>
        <v>389</v>
      </c>
      <c r="W61" s="276"/>
      <c r="X61" s="276">
        <f t="shared" ca="1" si="7"/>
        <v>0</v>
      </c>
      <c r="Y61" s="276"/>
      <c r="Z61" s="276"/>
      <c r="AB61" s="278" t="str">
        <f t="shared" si="8"/>
        <v>TinGejiu Non-Ferrous Metal Processing Co., Ltd.</v>
      </c>
    </row>
    <row r="62" spans="1:28" s="277" customFormat="1" ht="25.5">
      <c r="A62" s="216"/>
      <c r="B62" s="217" t="s">
        <v>1154</v>
      </c>
      <c r="C62" s="221" t="s">
        <v>803</v>
      </c>
      <c r="D62" s="283"/>
      <c r="E62" s="217" t="str">
        <f ca="1">IF(ISERROR($V62),"",OFFSET('Smelter Look-up'!$D$4,$V62-4,0)&amp;"")</f>
        <v>TAIWAN, PROVINCE OF CHINA</v>
      </c>
      <c r="F62" s="217" t="str">
        <f ca="1">IF(ISERROR($V62),"",OFFSET('Smelter Look-up'!$E$4,$V62-4,0))</f>
        <v>CID001539</v>
      </c>
      <c r="G62" s="217" t="str">
        <f ca="1">IF(C62=$X$4,"Enter smelter details",IF(ISERROR($V62),"",OFFSET('Smelter Look-up'!$F$4,$V62-4,0)))</f>
        <v>RMI</v>
      </c>
      <c r="H62" s="218">
        <f ca="1">IF(ISERROR($V62),"",OFFSET('Smelter Look-up'!$G$4,$V62-4,0))</f>
        <v>0</v>
      </c>
      <c r="I62" s="219" t="str">
        <f ca="1">IF(ISERROR($V62),"",OFFSET('Smelter Look-up'!$H$4,$V62-4,0))</f>
        <v>Longtan Shiang Taoyuan</v>
      </c>
      <c r="J62" s="219" t="str">
        <f ca="1">IF(ISERROR($V62),"",OFFSET('Smelter Look-up'!$I$4,$V62-4,0))</f>
        <v>Taoyuan</v>
      </c>
      <c r="K62" s="273"/>
      <c r="L62" s="273"/>
      <c r="M62" s="273"/>
      <c r="N62" s="273"/>
      <c r="O62" s="273"/>
      <c r="P62" s="220"/>
      <c r="Q62" s="274"/>
      <c r="R62" s="217" t="str">
        <f ca="1">IF(ISERROR($V62),"",OFFSET('Smelter Look-up'!$C$4,$V62-4,0)&amp;"")</f>
        <v>Rui Da Hung</v>
      </c>
      <c r="S62" s="225" t="str">
        <f t="shared" ca="1" si="6"/>
        <v>TW</v>
      </c>
      <c r="T62" s="225" t="str">
        <f ca="1">IF(B62="","",IF(ISERROR(MATCH($J62,SorP!$B$1:$B$6230,0)),"",INDIRECT("'SorP'!$A$"&amp;MATCH($J62,SorP!$B$1:$B$6230,0))))</f>
        <v>TW-TAO</v>
      </c>
      <c r="U62" s="241"/>
      <c r="V62" s="275">
        <f>IF(C62="",NA(),MATCH($B62&amp;$C62,'Smelter Look-up'!$J:$J,0))</f>
        <v>450</v>
      </c>
      <c r="W62" s="276"/>
      <c r="X62" s="276">
        <f t="shared" ca="1" si="7"/>
        <v>0</v>
      </c>
      <c r="Y62" s="276"/>
      <c r="Z62" s="276"/>
      <c r="AB62" s="278" t="str">
        <f t="shared" si="8"/>
        <v>TinRui Da Hung</v>
      </c>
    </row>
    <row r="63" spans="1:28" s="277" customFormat="1" ht="102">
      <c r="A63" s="216"/>
      <c r="B63" s="217" t="s">
        <v>1154</v>
      </c>
      <c r="C63" s="221" t="s">
        <v>2273</v>
      </c>
      <c r="D63" s="283"/>
      <c r="E63" s="217" t="str">
        <f ca="1">IF(ISERROR($V63),"",OFFSET('Smelter Look-up'!$D$4,$V63-4,0)&amp;"")</f>
        <v>CHINA</v>
      </c>
      <c r="F63" s="217" t="str">
        <f ca="1">IF(ISERROR($V63),"",OFFSET('Smelter Look-up'!$E$4,$V63-4,0))</f>
        <v>CID002158</v>
      </c>
      <c r="G63" s="217" t="str">
        <f ca="1">IF(C63=$X$4,"Enter smelter details",IF(ISERROR($V63),"",OFFSET('Smelter Look-up'!$F$4,$V63-4,0)))</f>
        <v>RMI</v>
      </c>
      <c r="H63" s="218">
        <f ca="1">IF(ISERROR($V63),"",OFFSET('Smelter Look-up'!$G$4,$V63-4,0))</f>
        <v>0</v>
      </c>
      <c r="I63" s="219" t="str">
        <f ca="1">IF(ISERROR($V63),"",OFFSET('Smelter Look-up'!$H$4,$V63-4,0))</f>
        <v>Gejiu</v>
      </c>
      <c r="J63" s="219" t="str">
        <f ca="1">IF(ISERROR($V63),"",OFFSET('Smelter Look-up'!$I$4,$V63-4,0))</f>
        <v>Yunnan Sheng</v>
      </c>
      <c r="K63" s="273"/>
      <c r="L63" s="273"/>
      <c r="M63" s="273"/>
      <c r="N63" s="273"/>
      <c r="O63" s="273"/>
      <c r="P63" s="220"/>
      <c r="Q63" s="274"/>
      <c r="R63" s="217" t="str">
        <f ca="1">IF(ISERROR($V63),"",OFFSET('Smelter Look-up'!$C$4,$V63-4,0)&amp;"")</f>
        <v>Yunnan Chengfeng Non-ferrous Metals Co., Ltd.</v>
      </c>
      <c r="S63" s="225" t="str">
        <f t="shared" ca="1" si="6"/>
        <v>CN</v>
      </c>
      <c r="T63" s="225" t="str">
        <f ca="1">IF(B63="","",IF(ISERROR(MATCH($J63,SorP!$B$1:$B$6230,0)),"",INDIRECT("'SorP'!$A$"&amp;MATCH($J63,SorP!$B$1:$B$6230,0))))</f>
        <v>CN-YN</v>
      </c>
      <c r="U63" s="241"/>
      <c r="V63" s="275">
        <f>IF(C63="",NA(),MATCH($B63&amp;$C63,'Smelter Look-up'!$J:$J,0))</f>
        <v>473</v>
      </c>
      <c r="W63" s="276"/>
      <c r="X63" s="276">
        <f t="shared" ca="1" si="7"/>
        <v>0</v>
      </c>
      <c r="Y63" s="276"/>
      <c r="Z63" s="276"/>
      <c r="AB63" s="278" t="str">
        <f t="shared" si="8"/>
        <v>TinYunnan Chengfeng Non-ferrous Metals Co., Ltd.</v>
      </c>
    </row>
    <row r="64" spans="1:28" s="277" customFormat="1" ht="51">
      <c r="A64" s="216"/>
      <c r="B64" s="217" t="s">
        <v>1154</v>
      </c>
      <c r="C64" s="221" t="s">
        <v>13267</v>
      </c>
      <c r="D64" s="283"/>
      <c r="E64" s="217" t="str">
        <f ca="1">IF(ISERROR($V64),"",OFFSET('Smelter Look-up'!$D$4,$V64-4,0)&amp;"")</f>
        <v>BELGIUM</v>
      </c>
      <c r="F64" s="217" t="str">
        <f ca="1">IF(ISERROR($V64),"",OFFSET('Smelter Look-up'!$E$4,$V64-4,0))</f>
        <v>CID002773</v>
      </c>
      <c r="G64" s="217" t="str">
        <f ca="1">IF(C64=$X$4,"Enter smelter details",IF(ISERROR($V64),"",OFFSET('Smelter Look-up'!$F$4,$V64-4,0)))</f>
        <v>RMI</v>
      </c>
      <c r="H64" s="218">
        <f ca="1">IF(ISERROR($V64),"",OFFSET('Smelter Look-up'!$G$4,$V64-4,0))</f>
        <v>0</v>
      </c>
      <c r="I64" s="219" t="str">
        <f ca="1">IF(ISERROR($V64),"",OFFSET('Smelter Look-up'!$H$4,$V64-4,0))</f>
        <v>Beerse</v>
      </c>
      <c r="J64" s="219" t="str">
        <f ca="1">IF(ISERROR($V64),"",OFFSET('Smelter Look-up'!$I$4,$V64-4,0))</f>
        <v>Antwerpen</v>
      </c>
      <c r="K64" s="273"/>
      <c r="L64" s="273"/>
      <c r="M64" s="273"/>
      <c r="N64" s="273"/>
      <c r="O64" s="273"/>
      <c r="P64" s="220"/>
      <c r="Q64" s="274"/>
      <c r="R64" s="217" t="str">
        <f ca="1">IF(ISERROR($V64),"",OFFSET('Smelter Look-up'!$C$4,$V64-4,0)&amp;"")</f>
        <v>Metallo Belgium N.V.</v>
      </c>
      <c r="S64" s="225" t="str">
        <f t="shared" ca="1" si="6"/>
        <v>BE</v>
      </c>
      <c r="T64" s="225" t="str">
        <f ca="1">IF(B64="","",IF(ISERROR(MATCH($J64,SorP!$B$1:$B$6230,0)),"",INDIRECT("'SorP'!$A$"&amp;MATCH($J64,SorP!$B$1:$B$6230,0))))</f>
        <v>BE-VAN</v>
      </c>
      <c r="U64" s="241"/>
      <c r="V64" s="275">
        <f>IF(C64="",NA(),MATCH($B64&amp;$C64,'Smelter Look-up'!$J:$J,0))</f>
        <v>419</v>
      </c>
      <c r="W64" s="276"/>
      <c r="X64" s="276">
        <f t="shared" ca="1" si="7"/>
        <v>0</v>
      </c>
      <c r="Y64" s="276"/>
      <c r="Z64" s="276"/>
      <c r="AB64" s="278" t="str">
        <f t="shared" si="8"/>
        <v>TinMetallo Belgium N.V.</v>
      </c>
    </row>
    <row r="65" spans="1:28" s="277" customFormat="1" ht="51">
      <c r="A65" s="216"/>
      <c r="B65" s="217" t="s">
        <v>1154</v>
      </c>
      <c r="C65" s="221" t="s">
        <v>53</v>
      </c>
      <c r="D65" s="283"/>
      <c r="E65" s="217" t="str">
        <f ca="1">IF(ISERROR($V65),"",OFFSET('Smelter Look-up'!$D$4,$V65-4,0)&amp;"")</f>
        <v>CHINA</v>
      </c>
      <c r="F65" s="217" t="str">
        <f ca="1">IF(ISERROR($V65),"",OFFSET('Smelter Look-up'!$E$4,$V65-4,0))</f>
        <v>CID002180</v>
      </c>
      <c r="G65" s="217" t="str">
        <f ca="1">IF(C65=$X$4,"Enter smelter details",IF(ISERROR($V65),"",OFFSET('Smelter Look-up'!$F$4,$V65-4,0)))</f>
        <v>RMI</v>
      </c>
      <c r="H65" s="218">
        <f ca="1">IF(ISERROR($V65),"",OFFSET('Smelter Look-up'!$G$4,$V65-4,0))</f>
        <v>0</v>
      </c>
      <c r="I65" s="219" t="str">
        <f ca="1">IF(ISERROR($V65),"",OFFSET('Smelter Look-up'!$H$4,$V65-4,0))</f>
        <v>Gejiu</v>
      </c>
      <c r="J65" s="219" t="str">
        <f ca="1">IF(ISERROR($V65),"",OFFSET('Smelter Look-up'!$I$4,$V65-4,0))</f>
        <v>Yunnan Sheng</v>
      </c>
      <c r="K65" s="273"/>
      <c r="L65" s="273"/>
      <c r="M65" s="273"/>
      <c r="N65" s="273"/>
      <c r="O65" s="273"/>
      <c r="P65" s="220"/>
      <c r="Q65" s="274"/>
      <c r="R65" s="217" t="str">
        <f ca="1">IF(ISERROR($V65),"",OFFSET('Smelter Look-up'!$C$4,$V65-4,0)&amp;"")</f>
        <v>Yunnan Tin Company Limited</v>
      </c>
      <c r="S65" s="225" t="str">
        <f t="shared" ca="1" si="6"/>
        <v>CN</v>
      </c>
      <c r="T65" s="225" t="str">
        <f ca="1">IF(B65="","",IF(ISERROR(MATCH($J65,SorP!$B$1:$B$6230,0)),"",INDIRECT("'SorP'!$A$"&amp;MATCH($J65,SorP!$B$1:$B$6230,0))))</f>
        <v>CN-YN</v>
      </c>
      <c r="U65" s="241"/>
      <c r="V65" s="275">
        <f>IF(C65="",NA(),MATCH($B65&amp;$C65,'Smelter Look-up'!$J:$J,0))</f>
        <v>478</v>
      </c>
      <c r="W65" s="276"/>
      <c r="X65" s="276">
        <f t="shared" ca="1" si="7"/>
        <v>0</v>
      </c>
      <c r="Y65" s="276"/>
      <c r="Z65" s="276"/>
      <c r="AB65" s="278" t="str">
        <f t="shared" si="8"/>
        <v>TinYunnan Tin Company, Ltd.</v>
      </c>
    </row>
    <row r="66" spans="1:28" s="277" customFormat="1" ht="51">
      <c r="A66" s="216"/>
      <c r="B66" s="217" t="s">
        <v>1154</v>
      </c>
      <c r="C66" s="221" t="s">
        <v>14151</v>
      </c>
      <c r="D66" s="283"/>
      <c r="E66" s="217" t="str">
        <f ca="1">IF(ISERROR($V66),"",OFFSET('Smelter Look-up'!$D$4,$V66-4,0)&amp;"")</f>
        <v>INDONESIA</v>
      </c>
      <c r="F66" s="217" t="str">
        <f ca="1">IF(ISERROR($V66),"",OFFSET('Smelter Look-up'!$E$4,$V66-4,0))</f>
        <v>CID001482</v>
      </c>
      <c r="G66" s="217" t="str">
        <f ca="1">IF(C66=$X$4,"Enter smelter details",IF(ISERROR($V66),"",OFFSET('Smelter Look-up'!$F$4,$V66-4,0)))</f>
        <v>RMI</v>
      </c>
      <c r="H66" s="218">
        <f ca="1">IF(ISERROR($V66),"",OFFSET('Smelter Look-up'!$G$4,$V66-4,0))</f>
        <v>0</v>
      </c>
      <c r="I66" s="219" t="str">
        <f ca="1">IF(ISERROR($V66),"",OFFSET('Smelter Look-up'!$H$4,$V66-4,0))</f>
        <v>Mentok</v>
      </c>
      <c r="J66" s="219" t="str">
        <f ca="1">IF(ISERROR($V66),"",OFFSET('Smelter Look-up'!$I$4,$V66-4,0))</f>
        <v>Kepulauan Bangka Belitung</v>
      </c>
      <c r="K66" s="273"/>
      <c r="L66" s="273"/>
      <c r="M66" s="273"/>
      <c r="N66" s="273"/>
      <c r="O66" s="273"/>
      <c r="P66" s="220"/>
      <c r="Q66" s="274"/>
      <c r="R66" s="217" t="str">
        <f ca="1">IF(ISERROR($V66),"",OFFSET('Smelter Look-up'!$C$4,$V66-4,0)&amp;"")</f>
        <v>PT Timah Tbk Mentok</v>
      </c>
      <c r="S66" s="225" t="str">
        <f t="shared" ca="1" si="6"/>
        <v>ID</v>
      </c>
      <c r="T66" s="225" t="str">
        <f ca="1">IF(B66="","",IF(ISERROR(MATCH($J66,SorP!$B$1:$B$6230,0)),"",INDIRECT("'SorP'!$A$"&amp;MATCH($J66,SorP!$B$1:$B$6230,0))))</f>
        <v>ID-BB</v>
      </c>
      <c r="U66" s="241"/>
      <c r="V66" s="275">
        <f>IF(C66="",NA(),MATCH($B66&amp;$C66,'Smelter Look-up'!$J:$J,0))</f>
        <v>446</v>
      </c>
      <c r="W66" s="276"/>
      <c r="X66" s="276">
        <f t="shared" ca="1" si="7"/>
        <v>0</v>
      </c>
      <c r="Y66" s="276"/>
      <c r="Z66" s="276"/>
      <c r="AB66" s="278" t="str">
        <f t="shared" si="8"/>
        <v>TinPT Timah Tbk Mentok</v>
      </c>
    </row>
    <row r="67" spans="1:28" s="277" customFormat="1" ht="38.25">
      <c r="A67" s="216"/>
      <c r="B67" s="217" t="s">
        <v>1154</v>
      </c>
      <c r="C67" s="221" t="s">
        <v>865</v>
      </c>
      <c r="D67" s="283"/>
      <c r="E67" s="217" t="str">
        <f ca="1">IF(ISERROR($V67),"",OFFSET('Smelter Look-up'!$D$4,$V67-4,0)&amp;"")</f>
        <v>BOLIVIA (PLURINATIONAL STATE OF)</v>
      </c>
      <c r="F67" s="217" t="str">
        <f ca="1">IF(ISERROR($V67),"",OFFSET('Smelter Look-up'!$E$4,$V67-4,0))</f>
        <v>CID000438</v>
      </c>
      <c r="G67" s="217" t="str">
        <f ca="1">IF(C67=$X$4,"Enter smelter details",IF(ISERROR($V67),"",OFFSET('Smelter Look-up'!$F$4,$V67-4,0)))</f>
        <v>RMI</v>
      </c>
      <c r="H67" s="218">
        <f ca="1">IF(ISERROR($V67),"",OFFSET('Smelter Look-up'!$G$4,$V67-4,0))</f>
        <v>0</v>
      </c>
      <c r="I67" s="219" t="str">
        <f ca="1">IF(ISERROR($V67),"",OFFSET('Smelter Look-up'!$H$4,$V67-4,0))</f>
        <v>Oruro</v>
      </c>
      <c r="J67" s="219" t="str">
        <f ca="1">IF(ISERROR($V67),"",OFFSET('Smelter Look-up'!$I$4,$V67-4,0))</f>
        <v>Oruro</v>
      </c>
      <c r="K67" s="273"/>
      <c r="L67" s="273"/>
      <c r="M67" s="273"/>
      <c r="N67" s="273"/>
      <c r="O67" s="273"/>
      <c r="P67" s="220"/>
      <c r="Q67" s="274"/>
      <c r="R67" s="217" t="str">
        <f ca="1">IF(ISERROR($V67),"",OFFSET('Smelter Look-up'!$C$4,$V67-4,0)&amp;"")</f>
        <v>EM Vinto</v>
      </c>
      <c r="S67" s="225" t="str">
        <f t="shared" ca="1" si="6"/>
        <v>BO</v>
      </c>
      <c r="T67" s="225" t="str">
        <f ca="1">IF(B67="","",IF(ISERROR(MATCH($J67,SorP!$B$1:$B$6230,0)),"",INDIRECT("'SorP'!$A$"&amp;MATCH($J67,SorP!$B$1:$B$6230,0))))</f>
        <v>BO-O</v>
      </c>
      <c r="U67" s="241"/>
      <c r="V67" s="275">
        <f>IF(C67="",NA(),MATCH($B67&amp;$C67,'Smelter Look-up'!$J:$J,0))</f>
        <v>377</v>
      </c>
      <c r="W67" s="276"/>
      <c r="X67" s="276">
        <f t="shared" ca="1" si="7"/>
        <v>0</v>
      </c>
      <c r="Y67" s="276"/>
      <c r="Z67" s="276"/>
      <c r="AB67" s="278" t="str">
        <f t="shared" si="8"/>
        <v>TinEM Vinto</v>
      </c>
    </row>
    <row r="68" spans="1:28" s="277" customFormat="1" ht="102">
      <c r="A68" s="216"/>
      <c r="B68" s="217" t="s">
        <v>1154</v>
      </c>
      <c r="C68" s="221" t="s">
        <v>2677</v>
      </c>
      <c r="D68" s="283"/>
      <c r="E68" s="217" t="str">
        <f ca="1">IF(ISERROR($V68),"",OFFSET('Smelter Look-up'!$D$4,$V68-4,0)&amp;"")</f>
        <v>CHINA</v>
      </c>
      <c r="F68" s="217" t="str">
        <f ca="1">IF(ISERROR($V68),"",OFFSET('Smelter Look-up'!$E$4,$V68-4,0))</f>
        <v>CID003116</v>
      </c>
      <c r="G68" s="217" t="str">
        <f ca="1">IF(C68=$X$4,"Enter smelter details",IF(ISERROR($V68),"",OFFSET('Smelter Look-up'!$F$4,$V68-4,0)))</f>
        <v>RMI</v>
      </c>
      <c r="H68" s="218">
        <f ca="1">IF(ISERROR($V68),"",OFFSET('Smelter Look-up'!$G$4,$V68-4,0))</f>
        <v>0</v>
      </c>
      <c r="I68" s="219" t="str">
        <f ca="1">IF(ISERROR($V68),"",OFFSET('Smelter Look-up'!$H$4,$V68-4,0))</f>
        <v>Chaozhou</v>
      </c>
      <c r="J68" s="219" t="str">
        <f ca="1">IF(ISERROR($V68),"",OFFSET('Smelter Look-up'!$I$4,$V68-4,0))</f>
        <v>Guangdong Sheng</v>
      </c>
      <c r="K68" s="273"/>
      <c r="L68" s="273"/>
      <c r="M68" s="273"/>
      <c r="N68" s="273"/>
      <c r="O68" s="273"/>
      <c r="P68" s="220"/>
      <c r="Q68" s="274"/>
      <c r="R68" s="217" t="str">
        <f ca="1">IF(ISERROR($V68),"",OFFSET('Smelter Look-up'!$C$4,$V68-4,0)&amp;"")</f>
        <v>Guangdong Hanhe Non-Ferrous Metal Co., Ltd.</v>
      </c>
      <c r="S68" s="225" t="str">
        <f t="shared" ca="1" si="6"/>
        <v>CN</v>
      </c>
      <c r="T68" s="225" t="str">
        <f ca="1">IF(B68="","",IF(ISERROR(MATCH($J68,SorP!$B$1:$B$6230,0)),"",INDIRECT("'SorP'!$A$"&amp;MATCH($J68,SorP!$B$1:$B$6230,0))))</f>
        <v>CN-GD</v>
      </c>
      <c r="U68" s="241"/>
      <c r="V68" s="275">
        <f>IF(C68="",NA(),MATCH($B68&amp;$C68,'Smelter Look-up'!$J:$J,0))</f>
        <v>395</v>
      </c>
      <c r="W68" s="276"/>
      <c r="X68" s="276">
        <f t="shared" ca="1" si="7"/>
        <v>0</v>
      </c>
      <c r="Y68" s="276"/>
      <c r="Z68" s="276"/>
      <c r="AB68" s="278" t="str">
        <f t="shared" si="8"/>
        <v>TinGuangdong Hanhe Non-Ferrous Metal Co., Ltd.</v>
      </c>
    </row>
    <row r="69" spans="1:28" s="277" customFormat="1" ht="63.75">
      <c r="A69" s="216"/>
      <c r="B69" s="217" t="s">
        <v>1154</v>
      </c>
      <c r="C69" s="221" t="s">
        <v>13518</v>
      </c>
      <c r="D69" s="283"/>
      <c r="E69" s="217" t="str">
        <f ca="1">IF(ISERROR($V69),"",OFFSET('Smelter Look-up'!$D$4,$V69-4,0)&amp;"")</f>
        <v>CHINA</v>
      </c>
      <c r="F69" s="217" t="str">
        <f ca="1">IF(ISERROR($V69),"",OFFSET('Smelter Look-up'!$E$4,$V69-4,0))</f>
        <v>CID001231</v>
      </c>
      <c r="G69" s="217" t="str">
        <f ca="1">IF(C69=$X$4,"Enter smelter details",IF(ISERROR($V69),"",OFFSET('Smelter Look-up'!$F$4,$V69-4,0)))</f>
        <v>RMI</v>
      </c>
      <c r="H69" s="218">
        <f ca="1">IF(ISERROR($V69),"",OFFSET('Smelter Look-up'!$G$4,$V69-4,0))</f>
        <v>0</v>
      </c>
      <c r="I69" s="219" t="str">
        <f ca="1">IF(ISERROR($V69),"",OFFSET('Smelter Look-up'!$H$4,$V69-4,0))</f>
        <v>Ganzhou</v>
      </c>
      <c r="J69" s="219" t="str">
        <f ca="1">IF(ISERROR($V69),"",OFFSET('Smelter Look-up'!$I$4,$V69-4,0))</f>
        <v>Jiangxi Sheng</v>
      </c>
      <c r="K69" s="273"/>
      <c r="L69" s="273"/>
      <c r="M69" s="273"/>
      <c r="N69" s="273"/>
      <c r="O69" s="273"/>
      <c r="P69" s="220"/>
      <c r="Q69" s="274"/>
      <c r="R69" s="217" t="str">
        <f ca="1">IF(ISERROR($V69),"",OFFSET('Smelter Look-up'!$C$4,$V69-4,0)&amp;"")</f>
        <v>Jiangxi New Nanshan Technology Ltd.</v>
      </c>
      <c r="S69" s="225" t="str">
        <f t="shared" ref="S69" ca="1" si="9">IF(B69="","",IF(ISERROR(MATCH($E69,CL,0)),"Unknown",INDIRECT("'C'!$A$"&amp;MATCH($E69,CL,0)+1)))</f>
        <v>CN</v>
      </c>
      <c r="T69" s="225" t="str">
        <f ca="1">IF(B69="","",IF(ISERROR(MATCH($J69,SorP!$B$1:$B$6230,0)),"",INDIRECT("'SorP'!$A$"&amp;MATCH($J69,SorP!$B$1:$B$6230,0))))</f>
        <v>CN-JX</v>
      </c>
      <c r="U69" s="241"/>
      <c r="V69" s="275">
        <f>IF(C69="",NA(),MATCH($B69&amp;$C69,'Smelter Look-up'!$J:$J,0))</f>
        <v>404</v>
      </c>
      <c r="W69" s="276"/>
      <c r="X69" s="276">
        <f t="shared" ref="X69" ca="1" si="10">IF(AND(C69="Smelter not listed",OR(LEN(D69)=0,LEN(E69)=0)),1,0)</f>
        <v>0</v>
      </c>
      <c r="Y69" s="276"/>
      <c r="Z69" s="276"/>
      <c r="AB69" s="278" t="str">
        <f t="shared" ref="AB69" si="11">B69&amp;C69</f>
        <v>TinJiangxi New Nanshan Technology Ltd.</v>
      </c>
    </row>
    <row r="70" spans="1:28" s="277" customFormat="1" ht="38.25">
      <c r="A70" s="216"/>
      <c r="B70" s="217" t="s">
        <v>1154</v>
      </c>
      <c r="C70" s="221" t="s">
        <v>13268</v>
      </c>
      <c r="D70" s="283"/>
      <c r="E70" s="217" t="str">
        <f ca="1">IF(ISERROR($V70),"",OFFSET('Smelter Look-up'!$D$4,$V70-4,0)&amp;"")</f>
        <v>SPAIN</v>
      </c>
      <c r="F70" s="217" t="str">
        <f ca="1">IF(ISERROR($V70),"",OFFSET('Smelter Look-up'!$E$4,$V70-4,0))</f>
        <v>CID002774</v>
      </c>
      <c r="G70" s="217" t="str">
        <f ca="1">IF(C70=$X$4,"Enter smelter details",IF(ISERROR($V70),"",OFFSET('Smelter Look-up'!$F$4,$V70-4,0)))</f>
        <v>RMI</v>
      </c>
      <c r="H70" s="218">
        <f ca="1">IF(ISERROR($V70),"",OFFSET('Smelter Look-up'!$G$4,$V70-4,0))</f>
        <v>0</v>
      </c>
      <c r="I70" s="219" t="str">
        <f ca="1">IF(ISERROR($V70),"",OFFSET('Smelter Look-up'!$H$4,$V70-4,0))</f>
        <v>Berango</v>
      </c>
      <c r="J70" s="219" t="str">
        <f ca="1">IF(ISERROR($V70),"",OFFSET('Smelter Look-up'!$I$4,$V70-4,0))</f>
        <v>Bizkaia</v>
      </c>
      <c r="K70" s="273"/>
      <c r="L70" s="273"/>
      <c r="M70" s="273"/>
      <c r="N70" s="273"/>
      <c r="O70" s="273"/>
      <c r="P70" s="220"/>
      <c r="Q70" s="274"/>
      <c r="R70" s="217" t="str">
        <f ca="1">IF(ISERROR($V70),"",OFFSET('Smelter Look-up'!$C$4,$V70-4,0)&amp;"")</f>
        <v>Metallo Spain S.L.U.</v>
      </c>
      <c r="S70" s="225" t="str">
        <f t="shared" ref="S70:S101" ca="1" si="12">IF(B70="","",IF(ISERROR(MATCH($E70,CL,0)),"Unknown",INDIRECT("'C'!$A$"&amp;MATCH($E70,CL,0)+1)))</f>
        <v>ES</v>
      </c>
      <c r="T70" s="225" t="str">
        <f ca="1">IF(B70="","",IF(ISERROR(MATCH($J70,SorP!$B$1:$B$6230,0)),"",INDIRECT("'SorP'!$A$"&amp;MATCH($J70,SorP!$B$1:$B$6230,0))))</f>
        <v>ES-BI</v>
      </c>
      <c r="U70" s="241"/>
      <c r="V70" s="275">
        <f>IF(C70="",NA(),MATCH($B70&amp;$C70,'Smelter Look-up'!$J:$J,0))</f>
        <v>420</v>
      </c>
      <c r="W70" s="276"/>
      <c r="X70" s="276">
        <f t="shared" ref="X70:X101" ca="1" si="13">IF(AND(C70="Smelter not listed",OR(LEN(D70)=0,LEN(E70)=0)),1,0)</f>
        <v>0</v>
      </c>
      <c r="Y70" s="276"/>
      <c r="Z70" s="276"/>
      <c r="AB70" s="278" t="str">
        <f t="shared" ref="AB70:AB101" si="14">B70&amp;C70</f>
        <v>TinMetallo Spain S.L.U.</v>
      </c>
    </row>
    <row r="71" spans="1:28" s="277" customFormat="1" ht="51">
      <c r="A71" s="216"/>
      <c r="B71" s="217" t="s">
        <v>1154</v>
      </c>
      <c r="C71" s="221" t="s">
        <v>2254</v>
      </c>
      <c r="D71" s="283"/>
      <c r="E71" s="217" t="str">
        <f ca="1">IF(ISERROR($V71),"",OFFSET('Smelter Look-up'!$D$4,$V71-4,0)&amp;"")</f>
        <v>UNITED STATES OF AMERICA</v>
      </c>
      <c r="F71" s="217" t="str">
        <f ca="1">IF(ISERROR($V71),"",OFFSET('Smelter Look-up'!$E$4,$V71-4,0))</f>
        <v>CID001142</v>
      </c>
      <c r="G71" s="217" t="str">
        <f ca="1">IF(C71=$X$4,"Enter smelter details",IF(ISERROR($V71),"",OFFSET('Smelter Look-up'!$F$4,$V71-4,0)))</f>
        <v>RMI</v>
      </c>
      <c r="H71" s="218">
        <f ca="1">IF(ISERROR($V71),"",OFFSET('Smelter Look-up'!$G$4,$V71-4,0))</f>
        <v>0</v>
      </c>
      <c r="I71" s="219" t="str">
        <f ca="1">IF(ISERROR($V71),"",OFFSET('Smelter Look-up'!$H$4,$V71-4,0))</f>
        <v>Twinsburg</v>
      </c>
      <c r="J71" s="219" t="str">
        <f ca="1">IF(ISERROR($V71),"",OFFSET('Smelter Look-up'!$I$4,$V71-4,0))</f>
        <v>Ohio</v>
      </c>
      <c r="K71" s="273"/>
      <c r="L71" s="273"/>
      <c r="M71" s="273"/>
      <c r="N71" s="273"/>
      <c r="O71" s="273"/>
      <c r="P71" s="220"/>
      <c r="Q71" s="274"/>
      <c r="R71" s="217" t="str">
        <f ca="1">IF(ISERROR($V71),"",OFFSET('Smelter Look-up'!$C$4,$V71-4,0)&amp;"")</f>
        <v>Metallic Resources, Inc.</v>
      </c>
      <c r="S71" s="225" t="str">
        <f t="shared" ca="1" si="12"/>
        <v>US</v>
      </c>
      <c r="T71" s="225" t="str">
        <f ca="1">IF(B71="","",IF(ISERROR(MATCH($J71,SorP!$B$1:$B$6230,0)),"",INDIRECT("'SorP'!$A$"&amp;MATCH($J71,SorP!$B$1:$B$6230,0))))</f>
        <v>US-OH</v>
      </c>
      <c r="U71" s="241"/>
      <c r="V71" s="275">
        <f>IF(C71="",NA(),MATCH($B71&amp;$C71,'Smelter Look-up'!$J:$J,0))</f>
        <v>418</v>
      </c>
      <c r="W71" s="276"/>
      <c r="X71" s="276">
        <f t="shared" ca="1" si="13"/>
        <v>0</v>
      </c>
      <c r="Y71" s="276"/>
      <c r="Z71" s="276"/>
      <c r="AB71" s="278" t="str">
        <f t="shared" si="14"/>
        <v>TinMetallic Resources, Inc.</v>
      </c>
    </row>
    <row r="72" spans="1:28" s="277" customFormat="1" ht="63.75">
      <c r="A72" s="216"/>
      <c r="B72" s="217" t="s">
        <v>1154</v>
      </c>
      <c r="C72" s="221" t="s">
        <v>867</v>
      </c>
      <c r="D72" s="283"/>
      <c r="E72" s="217" t="str">
        <f ca="1">IF(ISERROR($V72),"",OFFSET('Smelter Look-up'!$D$4,$V72-4,0)&amp;"")</f>
        <v>INDONESIA</v>
      </c>
      <c r="F72" s="217" t="str">
        <f ca="1">IF(ISERROR($V72),"",OFFSET('Smelter Look-up'!$E$4,$V72-4,0))</f>
        <v>CID001399</v>
      </c>
      <c r="G72" s="217" t="str">
        <f ca="1">IF(C72=$X$4,"Enter smelter details",IF(ISERROR($V72),"",OFFSET('Smelter Look-up'!$F$4,$V72-4,0)))</f>
        <v>RMI</v>
      </c>
      <c r="H72" s="218">
        <f ca="1">IF(ISERROR($V72),"",OFFSET('Smelter Look-up'!$G$4,$V72-4,0))</f>
        <v>0</v>
      </c>
      <c r="I72" s="219" t="str">
        <f ca="1">IF(ISERROR($V72),"",OFFSET('Smelter Look-up'!$H$4,$V72-4,0))</f>
        <v>Sungailiat</v>
      </c>
      <c r="J72" s="219" t="str">
        <f ca="1">IF(ISERROR($V72),"",OFFSET('Smelter Look-up'!$I$4,$V72-4,0))</f>
        <v>Kepulauan Bangka Belitung</v>
      </c>
      <c r="K72" s="273"/>
      <c r="L72" s="273"/>
      <c r="M72" s="273"/>
      <c r="N72" s="273"/>
      <c r="O72" s="273"/>
      <c r="P72" s="220"/>
      <c r="Q72" s="274"/>
      <c r="R72" s="217" t="str">
        <f ca="1">IF(ISERROR($V72),"",OFFSET('Smelter Look-up'!$C$4,$V72-4,0)&amp;"")</f>
        <v>PT Artha Cipta Langgeng</v>
      </c>
      <c r="S72" s="225" t="str">
        <f t="shared" ca="1" si="12"/>
        <v>ID</v>
      </c>
      <c r="T72" s="225" t="str">
        <f ca="1">IF(B72="","",IF(ISERROR(MATCH($J72,SorP!$B$1:$B$6230,0)),"",INDIRECT("'SorP'!$A$"&amp;MATCH($J72,SorP!$B$1:$B$6230,0))))</f>
        <v>ID-BB</v>
      </c>
      <c r="U72" s="241"/>
      <c r="V72" s="275">
        <f>IF(C72="",NA(),MATCH($B72&amp;$C72,'Smelter Look-up'!$J:$J,0))</f>
        <v>438</v>
      </c>
      <c r="W72" s="276"/>
      <c r="X72" s="276">
        <f t="shared" ca="1" si="13"/>
        <v>0</v>
      </c>
      <c r="Y72" s="276"/>
      <c r="Z72" s="276"/>
      <c r="AB72" s="278" t="str">
        <f t="shared" si="14"/>
        <v>TinPT Artha Cipta Langgeng</v>
      </c>
    </row>
    <row r="73" spans="1:28" s="277" customFormat="1" ht="63.75">
      <c r="A73" s="216"/>
      <c r="B73" s="217" t="s">
        <v>1154</v>
      </c>
      <c r="C73" s="221" t="s">
        <v>1426</v>
      </c>
      <c r="D73" s="283"/>
      <c r="E73" s="217" t="str">
        <f ca="1">IF(ISERROR($V73),"",OFFSET('Smelter Look-up'!$D$4,$V73-4,0)&amp;"")</f>
        <v>INDONESIA</v>
      </c>
      <c r="F73" s="217" t="str">
        <f ca="1">IF(ISERROR($V73),"",OFFSET('Smelter Look-up'!$E$4,$V73-4,0))</f>
        <v>CID002503</v>
      </c>
      <c r="G73" s="217" t="str">
        <f ca="1">IF(C73=$X$4,"Enter smelter details",IF(ISERROR($V73),"",OFFSET('Smelter Look-up'!$F$4,$V73-4,0)))</f>
        <v>RMI</v>
      </c>
      <c r="H73" s="218">
        <f ca="1">IF(ISERROR($V73),"",OFFSET('Smelter Look-up'!$G$4,$V73-4,0))</f>
        <v>0</v>
      </c>
      <c r="I73" s="219" t="str">
        <f ca="1">IF(ISERROR($V73),"",OFFSET('Smelter Look-up'!$H$4,$V73-4,0))</f>
        <v>Sungailiat</v>
      </c>
      <c r="J73" s="219" t="str">
        <f ca="1">IF(ISERROR($V73),"",OFFSET('Smelter Look-up'!$I$4,$V73-4,0))</f>
        <v>Kepulauan Bangka Belitung</v>
      </c>
      <c r="K73" s="273"/>
      <c r="L73" s="273"/>
      <c r="M73" s="273"/>
      <c r="N73" s="273"/>
      <c r="O73" s="273"/>
      <c r="P73" s="220"/>
      <c r="Q73" s="274"/>
      <c r="R73" s="217" t="str">
        <f ca="1">IF(ISERROR($V73),"",OFFSET('Smelter Look-up'!$C$4,$V73-4,0)&amp;"")</f>
        <v>PT ATD Makmur Mandiri Jaya</v>
      </c>
      <c r="S73" s="225" t="str">
        <f t="shared" ca="1" si="12"/>
        <v>ID</v>
      </c>
      <c r="T73" s="225" t="str">
        <f ca="1">IF(B73="","",IF(ISERROR(MATCH($J73,SorP!$B$1:$B$6230,0)),"",INDIRECT("'SorP'!$A$"&amp;MATCH($J73,SorP!$B$1:$B$6230,0))))</f>
        <v>ID-BB</v>
      </c>
      <c r="U73" s="241"/>
      <c r="V73" s="275">
        <f>IF(C73="",NA(),MATCH($B73&amp;$C73,'Smelter Look-up'!$J:$J,0))</f>
        <v>439</v>
      </c>
      <c r="W73" s="276"/>
      <c r="X73" s="276">
        <f t="shared" ca="1" si="13"/>
        <v>0</v>
      </c>
      <c r="Y73" s="276"/>
      <c r="Z73" s="276"/>
      <c r="AB73" s="278" t="str">
        <f t="shared" si="14"/>
        <v>TinPT ATD Makmur Mandiri Jaya</v>
      </c>
    </row>
    <row r="74" spans="1:28" s="277" customFormat="1" ht="25.5">
      <c r="A74" s="216"/>
      <c r="B74" s="217" t="s">
        <v>1154</v>
      </c>
      <c r="C74" s="221" t="s">
        <v>1831</v>
      </c>
      <c r="D74" s="283"/>
      <c r="E74" s="217" t="str">
        <f ca="1">IF(ISERROR($V74),"",OFFSET('Smelter Look-up'!$D$4,$V74-4,0)&amp;"")</f>
        <v>INDONESIA</v>
      </c>
      <c r="F74" s="217" t="str">
        <f ca="1">IF(ISERROR($V74),"",OFFSET('Smelter Look-up'!$E$4,$V74-4,0))</f>
        <v>CID001460</v>
      </c>
      <c r="G74" s="217" t="str">
        <f ca="1">IF(C74=$X$4,"Enter smelter details",IF(ISERROR($V74),"",OFFSET('Smelter Look-up'!$F$4,$V74-4,0)))</f>
        <v>RMI</v>
      </c>
      <c r="H74" s="218">
        <f ca="1">IF(ISERROR($V74),"",OFFSET('Smelter Look-up'!$G$4,$V74-4,0))</f>
        <v>0</v>
      </c>
      <c r="I74" s="219" t="str">
        <f ca="1">IF(ISERROR($V74),"",OFFSET('Smelter Look-up'!$H$4,$V74-4,0))</f>
        <v>Sungailiat</v>
      </c>
      <c r="J74" s="219" t="str">
        <f ca="1">IF(ISERROR($V74),"",OFFSET('Smelter Look-up'!$I$4,$V74-4,0))</f>
        <v>Kepulauan Bangka Belitung</v>
      </c>
      <c r="K74" s="273"/>
      <c r="L74" s="273"/>
      <c r="M74" s="273"/>
      <c r="N74" s="273"/>
      <c r="O74" s="273"/>
      <c r="P74" s="220"/>
      <c r="Q74" s="274"/>
      <c r="R74" s="217" t="str">
        <f ca="1">IF(ISERROR($V74),"",OFFSET('Smelter Look-up'!$C$4,$V74-4,0)&amp;"")</f>
        <v>PT Refined Bangka Tin</v>
      </c>
      <c r="S74" s="225" t="str">
        <f t="shared" ca="1" si="12"/>
        <v>ID</v>
      </c>
      <c r="T74" s="225" t="str">
        <f ca="1">IF(B74="","",IF(ISERROR(MATCH($J74,SorP!$B$1:$B$6230,0)),"",INDIRECT("'SorP'!$A$"&amp;MATCH($J74,SorP!$B$1:$B$6230,0))))</f>
        <v>ID-BB</v>
      </c>
      <c r="U74" s="241"/>
      <c r="V74" s="275">
        <f>IF(C74="",NA(),MATCH($B74&amp;$C74,'Smelter Look-up'!$J:$J,0))</f>
        <v>361</v>
      </c>
      <c r="W74" s="276"/>
      <c r="X74" s="276">
        <f t="shared" ca="1" si="13"/>
        <v>0</v>
      </c>
      <c r="Y74" s="276"/>
      <c r="Z74" s="276"/>
      <c r="AB74" s="278" t="str">
        <f t="shared" si="14"/>
        <v>TinBrand RBT</v>
      </c>
    </row>
    <row r="75" spans="1:28" s="277" customFormat="1" ht="89.25">
      <c r="A75" s="216"/>
      <c r="B75" s="217" t="s">
        <v>1154</v>
      </c>
      <c r="C75" s="221" t="s">
        <v>1045</v>
      </c>
      <c r="D75" s="283"/>
      <c r="E75" s="217" t="str">
        <f ca="1">IF(ISERROR($V75),"",OFFSET('Smelter Look-up'!$D$4,$V75-4,0)&amp;"")</f>
        <v>BOLIVIA (PLURINATIONAL STATE OF)</v>
      </c>
      <c r="F75" s="217" t="str">
        <f ca="1">IF(ISERROR($V75),"",OFFSET('Smelter Look-up'!$E$4,$V75-4,0))</f>
        <v>CID000438</v>
      </c>
      <c r="G75" s="217" t="str">
        <f ca="1">IF(C75=$X$4,"Enter smelter details",IF(ISERROR($V75),"",OFFSET('Smelter Look-up'!$F$4,$V75-4,0)))</f>
        <v>RMI</v>
      </c>
      <c r="H75" s="218">
        <f ca="1">IF(ISERROR($V75),"",OFFSET('Smelter Look-up'!$G$4,$V75-4,0))</f>
        <v>0</v>
      </c>
      <c r="I75" s="219" t="str">
        <f ca="1">IF(ISERROR($V75),"",OFFSET('Smelter Look-up'!$H$4,$V75-4,0))</f>
        <v>Oruro</v>
      </c>
      <c r="J75" s="219" t="str">
        <f ca="1">IF(ISERROR($V75),"",OFFSET('Smelter Look-up'!$I$4,$V75-4,0))</f>
        <v>Oruro</v>
      </c>
      <c r="K75" s="273"/>
      <c r="L75" s="273"/>
      <c r="M75" s="273"/>
      <c r="N75" s="273"/>
      <c r="O75" s="273"/>
      <c r="P75" s="220"/>
      <c r="Q75" s="274"/>
      <c r="R75" s="217" t="str">
        <f ca="1">IF(ISERROR($V75),"",OFFSET('Smelter Look-up'!$C$4,$V75-4,0)&amp;"")</f>
        <v>EM Vinto</v>
      </c>
      <c r="S75" s="225" t="str">
        <f t="shared" ca="1" si="12"/>
        <v>BO</v>
      </c>
      <c r="T75" s="225" t="str">
        <f ca="1">IF(B75="","",IF(ISERROR(MATCH($J75,SorP!$B$1:$B$6230,0)),"",INDIRECT("'SorP'!$A$"&amp;MATCH($J75,SorP!$B$1:$B$6230,0))))</f>
        <v>BO-O</v>
      </c>
      <c r="U75" s="241"/>
      <c r="V75" s="275">
        <f>IF(C75="",NA(),MATCH($B75&amp;$C75,'Smelter Look-up'!$J:$J,0))</f>
        <v>379</v>
      </c>
      <c r="W75" s="276"/>
      <c r="X75" s="276">
        <f t="shared" ca="1" si="13"/>
        <v>0</v>
      </c>
      <c r="Y75" s="276"/>
      <c r="Z75" s="276"/>
      <c r="AB75" s="278" t="str">
        <f t="shared" si="14"/>
        <v>TinEmpressa Nacional de Fundiciones (ENAF)</v>
      </c>
    </row>
    <row r="76" spans="1:28" s="277" customFormat="1" ht="89.25">
      <c r="A76" s="216"/>
      <c r="B76" s="217" t="s">
        <v>1154</v>
      </c>
      <c r="C76" s="221" t="s">
        <v>1450</v>
      </c>
      <c r="D76" s="283"/>
      <c r="E76" s="217" t="str">
        <f ca="1">IF(ISERROR($V76),"",OFFSET('Smelter Look-up'!$D$4,$V76-4,0)&amp;"")</f>
        <v>CHINA</v>
      </c>
      <c r="F76" s="217" t="str">
        <f ca="1">IF(ISERROR($V76),"",OFFSET('Smelter Look-up'!$E$4,$V76-4,0))</f>
        <v>CID000942</v>
      </c>
      <c r="G76" s="217" t="str">
        <f ca="1">IF(C76=$X$4,"Enter smelter details",IF(ISERROR($V76),"",OFFSET('Smelter Look-up'!$F$4,$V76-4,0)))</f>
        <v>RMI</v>
      </c>
      <c r="H76" s="218">
        <f ca="1">IF(ISERROR($V76),"",OFFSET('Smelter Look-up'!$G$4,$V76-4,0))</f>
        <v>0</v>
      </c>
      <c r="I76" s="219" t="str">
        <f ca="1">IF(ISERROR($V76),"",OFFSET('Smelter Look-up'!$H$4,$V76-4,0))</f>
        <v>Gejiu</v>
      </c>
      <c r="J76" s="219" t="str">
        <f ca="1">IF(ISERROR($V76),"",OFFSET('Smelter Look-up'!$I$4,$V76-4,0))</f>
        <v>Yunnan Sheng</v>
      </c>
      <c r="K76" s="273"/>
      <c r="L76" s="273"/>
      <c r="M76" s="273"/>
      <c r="N76" s="273"/>
      <c r="O76" s="273"/>
      <c r="P76" s="220"/>
      <c r="Q76" s="274"/>
      <c r="R76" s="217" t="str">
        <f ca="1">IF(ISERROR($V76),"",OFFSET('Smelter Look-up'!$C$4,$V76-4,0)&amp;"")</f>
        <v>Gejiu Kai Meng Industry and Trade LLC</v>
      </c>
      <c r="S76" s="225" t="str">
        <f t="shared" ca="1" si="12"/>
        <v>CN</v>
      </c>
      <c r="T76" s="225" t="str">
        <f ca="1">IF(B76="","",IF(ISERROR(MATCH($J76,SorP!$B$1:$B$6230,0)),"",INDIRECT("'SorP'!$A$"&amp;MATCH($J76,SorP!$B$1:$B$6230,0))))</f>
        <v>CN-YN</v>
      </c>
      <c r="U76" s="241"/>
      <c r="V76" s="275">
        <f>IF(C76="",NA(),MATCH($B76&amp;$C76,'Smelter Look-up'!$J:$J,0))</f>
        <v>388</v>
      </c>
      <c r="W76" s="276"/>
      <c r="X76" s="276">
        <f t="shared" ca="1" si="13"/>
        <v>0</v>
      </c>
      <c r="Y76" s="276"/>
      <c r="Z76" s="276"/>
      <c r="AB76" s="278" t="str">
        <f t="shared" si="14"/>
        <v>TinGejiu Kai Meng Industry and Trade LLC</v>
      </c>
    </row>
    <row r="77" spans="1:28" s="277" customFormat="1" ht="76.5">
      <c r="A77" s="216"/>
      <c r="B77" s="217" t="s">
        <v>1154</v>
      </c>
      <c r="C77" s="221" t="s">
        <v>2249</v>
      </c>
      <c r="D77" s="283"/>
      <c r="E77" s="217" t="str">
        <f ca="1">IF(ISERROR($V77),"",OFFSET('Smelter Look-up'!$D$4,$V77-4,0)&amp;"")</f>
        <v>CHINA</v>
      </c>
      <c r="F77" s="217" t="str">
        <f ca="1">IF(ISERROR($V77),"",OFFSET('Smelter Look-up'!$E$4,$V77-4,0))</f>
        <v>CID000760</v>
      </c>
      <c r="G77" s="217" t="str">
        <f ca="1">IF(C77=$X$4,"Enter smelter details",IF(ISERROR($V77),"",OFFSET('Smelter Look-up'!$F$4,$V77-4,0)))</f>
        <v>RMI</v>
      </c>
      <c r="H77" s="218">
        <f ca="1">IF(ISERROR($V77),"",OFFSET('Smelter Look-up'!$G$4,$V77-4,0))</f>
        <v>0</v>
      </c>
      <c r="I77" s="219" t="str">
        <f ca="1">IF(ISERROR($V77),"",OFFSET('Smelter Look-up'!$H$4,$V77-4,0))</f>
        <v>Ganzhou</v>
      </c>
      <c r="J77" s="219" t="str">
        <f ca="1">IF(ISERROR($V77),"",OFFSET('Smelter Look-up'!$I$4,$V77-4,0))</f>
        <v>Jiangxi Sheng</v>
      </c>
      <c r="K77" s="273"/>
      <c r="L77" s="273"/>
      <c r="M77" s="273"/>
      <c r="N77" s="273"/>
      <c r="O77" s="273"/>
      <c r="P77" s="220"/>
      <c r="Q77" s="274"/>
      <c r="R77" s="217" t="str">
        <f ca="1">IF(ISERROR($V77),"",OFFSET('Smelter Look-up'!$C$4,$V77-4,0)&amp;"")</f>
        <v>Huichang Jinshunda Tin Co., Ltd.</v>
      </c>
      <c r="S77" s="225" t="str">
        <f t="shared" ca="1" si="12"/>
        <v>CN</v>
      </c>
      <c r="T77" s="225" t="str">
        <f ca="1">IF(B77="","",IF(ISERROR(MATCH($J77,SorP!$B$1:$B$6230,0)),"",INDIRECT("'SorP'!$A$"&amp;MATCH($J77,SorP!$B$1:$B$6230,0))))</f>
        <v>CN-JX</v>
      </c>
      <c r="U77" s="241"/>
      <c r="V77" s="275">
        <f>IF(C77="",NA(),MATCH($B77&amp;$C77,'Smelter Look-up'!$J:$J,0))</f>
        <v>400</v>
      </c>
      <c r="W77" s="276"/>
      <c r="X77" s="276">
        <f t="shared" ca="1" si="13"/>
        <v>0</v>
      </c>
      <c r="Y77" s="276"/>
      <c r="Z77" s="276"/>
      <c r="AB77" s="278" t="str">
        <f t="shared" si="14"/>
        <v>TinHuichang Jinshunda Tin Co., Ltd.</v>
      </c>
    </row>
    <row r="78" spans="1:28" s="277" customFormat="1" ht="38.25">
      <c r="A78" s="216"/>
      <c r="B78" s="217" t="s">
        <v>1154</v>
      </c>
      <c r="C78" s="221" t="s">
        <v>2344</v>
      </c>
      <c r="D78" s="283"/>
      <c r="E78" s="217" t="str">
        <f ca="1">IF(ISERROR($V78),"",OFFSET('Smelter Look-up'!$D$4,$V78-4,0)&amp;"")</f>
        <v>INDONESIA</v>
      </c>
      <c r="F78" s="217" t="str">
        <f ca="1">IF(ISERROR($V78),"",OFFSET('Smelter Look-up'!$E$4,$V78-4,0))</f>
        <v>CID001482</v>
      </c>
      <c r="G78" s="217" t="str">
        <f ca="1">IF(C78=$X$4,"Enter smelter details",IF(ISERROR($V78),"",OFFSET('Smelter Look-up'!$F$4,$V78-4,0)))</f>
        <v>RMI</v>
      </c>
      <c r="H78" s="218">
        <f ca="1">IF(ISERROR($V78),"",OFFSET('Smelter Look-up'!$G$4,$V78-4,0))</f>
        <v>0</v>
      </c>
      <c r="I78" s="219" t="str">
        <f ca="1">IF(ISERROR($V78),"",OFFSET('Smelter Look-up'!$H$4,$V78-4,0))</f>
        <v>Mentok</v>
      </c>
      <c r="J78" s="219" t="str">
        <f ca="1">IF(ISERROR($V78),"",OFFSET('Smelter Look-up'!$I$4,$V78-4,0))</f>
        <v>Kepulauan Bangka Belitung</v>
      </c>
      <c r="K78" s="273"/>
      <c r="L78" s="273"/>
      <c r="M78" s="273"/>
      <c r="N78" s="273"/>
      <c r="O78" s="273"/>
      <c r="P78" s="220"/>
      <c r="Q78" s="274"/>
      <c r="R78" s="217" t="str">
        <f ca="1">IF(ISERROR($V78),"",OFFSET('Smelter Look-up'!$C$4,$V78-4,0)&amp;"")</f>
        <v>PT Timah Tbk Mentok</v>
      </c>
      <c r="S78" s="225" t="str">
        <f t="shared" ca="1" si="12"/>
        <v>ID</v>
      </c>
      <c r="T78" s="225" t="str">
        <f ca="1">IF(B78="","",IF(ISERROR(MATCH($J78,SorP!$B$1:$B$6230,0)),"",INDIRECT("'SorP'!$A$"&amp;MATCH($J78,SorP!$B$1:$B$6230,0))))</f>
        <v>ID-BB</v>
      </c>
      <c r="U78" s="241"/>
      <c r="V78" s="275">
        <f>IF(C78="",NA(),MATCH($B78&amp;$C78,'Smelter Look-up'!$J:$J,0))</f>
        <v>416</v>
      </c>
      <c r="W78" s="276"/>
      <c r="X78" s="276">
        <f t="shared" ca="1" si="13"/>
        <v>0</v>
      </c>
      <c r="Y78" s="276"/>
      <c r="Z78" s="276"/>
      <c r="AB78" s="278" t="str">
        <f t="shared" si="14"/>
        <v>TinMentok Smelter</v>
      </c>
    </row>
    <row r="79" spans="1:28" s="277" customFormat="1" ht="76.5">
      <c r="A79" s="216"/>
      <c r="B79" s="217" t="s">
        <v>1154</v>
      </c>
      <c r="C79" s="221" t="s">
        <v>1187</v>
      </c>
      <c r="D79" s="283"/>
      <c r="E79" s="217" t="str">
        <f ca="1">IF(ISERROR($V79),"",OFFSET('Smelter Look-up'!$D$4,$V79-4,0)&amp;"")</f>
        <v>JAPAN</v>
      </c>
      <c r="F79" s="217" t="str">
        <f ca="1">IF(ISERROR($V79),"",OFFSET('Smelter Look-up'!$E$4,$V79-4,0))</f>
        <v>CID001191</v>
      </c>
      <c r="G79" s="217" t="str">
        <f ca="1">IF(C79=$X$4,"Enter smelter details",IF(ISERROR($V79),"",OFFSET('Smelter Look-up'!$F$4,$V79-4,0)))</f>
        <v>RMI</v>
      </c>
      <c r="H79" s="218">
        <f ca="1">IF(ISERROR($V79),"",OFFSET('Smelter Look-up'!$G$4,$V79-4,0))</f>
        <v>0</v>
      </c>
      <c r="I79" s="219" t="str">
        <f ca="1">IF(ISERROR($V79),"",OFFSET('Smelter Look-up'!$H$4,$V79-4,0))</f>
        <v>Asago</v>
      </c>
      <c r="J79" s="219" t="str">
        <f ca="1">IF(ISERROR($V79),"",OFFSET('Smelter Look-up'!$I$4,$V79-4,0))</f>
        <v>Hyogo</v>
      </c>
      <c r="K79" s="273"/>
      <c r="L79" s="273"/>
      <c r="M79" s="273"/>
      <c r="N79" s="273"/>
      <c r="O79" s="273"/>
      <c r="P79" s="220"/>
      <c r="Q79" s="274"/>
      <c r="R79" s="217" t="str">
        <f ca="1">IF(ISERROR($V79),"",OFFSET('Smelter Look-up'!$C$4,$V79-4,0)&amp;"")</f>
        <v>Mitsubishi Materials Corporation</v>
      </c>
      <c r="S79" s="225" t="str">
        <f t="shared" ca="1" si="12"/>
        <v>JP</v>
      </c>
      <c r="T79" s="225" t="str">
        <f ca="1">IF(B79="","",IF(ISERROR(MATCH($J79,SorP!$B$1:$B$6230,0)),"",INDIRECT("'SorP'!$A$"&amp;MATCH($J79,SorP!$B$1:$B$6230,0))))</f>
        <v>JP-28</v>
      </c>
      <c r="U79" s="241"/>
      <c r="V79" s="275">
        <f>IF(C79="",NA(),MATCH($B79&amp;$C79,'Smelter Look-up'!$J:$J,0))</f>
        <v>425</v>
      </c>
      <c r="W79" s="276"/>
      <c r="X79" s="276">
        <f t="shared" ca="1" si="13"/>
        <v>0</v>
      </c>
      <c r="Y79" s="276"/>
      <c r="Z79" s="276"/>
      <c r="AB79" s="278" t="str">
        <f t="shared" si="14"/>
        <v>TinMitsubishi Materials Corporation</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4" t="str">
        <f ca="1">OFFSET(L!$C$1,MATCH("Checker"&amp;ADDRESS(ROW(),COLUMN(),4),L!$A:$A,0)-1,SL,,)</f>
        <v>To ensure all required fields have been populated before submitting to your customers review form for any line items highlighted in red</v>
      </c>
      <c r="B1" s="444"/>
      <c r="C1" s="444"/>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Positronic Industries</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Kay Gentry</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kaygentry@connectpositronic.com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417-866-2322</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Kay Gentry</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kaygentry@connectpositronic.com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44034</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Yes</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f>IF(AND($B$15="Yes",$B$20="Yes"),Declaration!D57,0)</f>
        <v>1</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f>IF(AND($B$16="Yes",$B$21="Yes"),Declaration!D58,0)</f>
        <v>1</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www.connectpositronic.com/environmentalinitiatives</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IF(H65=0,"","Click here to provide smelter information")</f>
        <v/>
      </c>
      <c r="E65" s="84" t="s">
        <v>1330</v>
      </c>
      <c r="F65" s="107">
        <f>F24</f>
        <v>0</v>
      </c>
      <c r="G65" s="81">
        <f>IF(AND(COUNTIF(SmelterIdetifiedForMetal,"Tantalum")&gt;0,COUNTIF('Smelter List'!AB$5:AB$2504,"Tantalum?*")&gt;0),0,1)</f>
        <v>1</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1</v>
      </c>
      <c r="G66" s="81">
        <f>IF(AND(COUNTIF(SmelterIdetifiedForMetal,"Tin")&gt;0,COUNTIF('Smelter List'!AB$5:AB$2504,"Tin?*")&gt;0),0,1)</f>
        <v>0</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1</v>
      </c>
      <c r="G67" s="81">
        <f>IF(AND(COUNTIF(SmelterIdetifiedForMetal,"Gold")&gt;0,COUNTIF('Smelter List'!AB$5:AB$2504,"Gold?*")&gt;0),0,1)</f>
        <v>0</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0</v>
      </c>
      <c r="G68" s="81">
        <f>IF(AND(COUNTIF(SmelterIdetifiedForMetal,"Tungsten")&gt;0,COUNTIF('Smelter List'!AB$5:AB$2504,"Tungsten?*")&gt;0),0,1)</f>
        <v>1</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6" t="str">
        <f ca="1">OFFSET(L!$C$1,MATCH("Product List"&amp;ADDRESS(ROW(),COLUMN(),4),L!$A:$A,0)-1,SL,,)</f>
        <v>Completion required only if reporting level "Product (or List of Products)" selected on the 'Declaration' worksheet.</v>
      </c>
      <c r="B1" s="447"/>
      <c r="C1" s="447"/>
      <c r="D1" s="447"/>
      <c r="E1" s="145"/>
    </row>
    <row r="2" spans="1:6">
      <c r="A2" s="29"/>
      <c r="B2" s="147"/>
      <c r="C2" s="147"/>
      <c r="D2"/>
      <c r="E2" s="30"/>
    </row>
    <row r="3" spans="1:6">
      <c r="A3" s="29"/>
      <c r="B3" s="147"/>
      <c r="C3" s="147"/>
      <c r="D3" s="147"/>
      <c r="E3" s="30"/>
    </row>
    <row r="4" spans="1:6" ht="15.75" customHeight="1">
      <c r="A4" s="29"/>
      <c r="B4" s="445" t="s">
        <v>921</v>
      </c>
      <c r="C4" s="445"/>
      <c r="D4" s="445"/>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8" t="str">
        <f ca="1">OFFSET(L!$C$1,MATCH("General"&amp;"Cpy",L!$A:$A,0)-1,SL,,)</f>
        <v>© 2020 Responsible Minerals Initiative. All rights reserved.</v>
      </c>
      <c r="C1001" s="448"/>
      <c r="D1001" s="448"/>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4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9"/>
      <c r="C1" s="449"/>
      <c r="D1" s="449"/>
      <c r="E1" s="449"/>
      <c r="F1" s="449"/>
      <c r="G1" s="449"/>
    </row>
    <row r="2" spans="1:16">
      <c r="A2" s="450"/>
      <c r="B2" s="450"/>
      <c r="C2" s="450"/>
      <c r="D2" s="450"/>
      <c r="E2" s="450"/>
      <c r="F2" s="450"/>
      <c r="G2" s="450"/>
      <c r="H2" s="450"/>
      <c r="I2" s="450"/>
    </row>
    <row r="3" spans="1:16">
      <c r="A3" s="450"/>
      <c r="B3" s="450"/>
      <c r="C3" s="450"/>
      <c r="D3" s="450"/>
      <c r="E3" s="450"/>
      <c r="F3" s="450"/>
      <c r="G3" s="450"/>
      <c r="H3" s="450"/>
      <c r="I3" s="450"/>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57">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42.75">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13.75">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30">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Melanie Scott</cp:lastModifiedBy>
  <cp:lastPrinted>2015-04-21T20:47:43Z</cp:lastPrinted>
  <dcterms:created xsi:type="dcterms:W3CDTF">2010-06-21T21:00:23Z</dcterms:created>
  <dcterms:modified xsi:type="dcterms:W3CDTF">2020-07-23T13:26:43Z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y fmtid="{D5CDD505-2E9C-101B-9397-08002B2CF9AE}" pid="5" name="MSIP_Label_661a4b63-236e-4cee-94fb-d8b11d9f4647_Enabled">
    <vt:lpwstr>true</vt:lpwstr>
  </property>
  <property fmtid="{D5CDD505-2E9C-101B-9397-08002B2CF9AE}" pid="6" name="MSIP_Label_661a4b63-236e-4cee-94fb-d8b11d9f4647_SetDate">
    <vt:lpwstr>2020-06-02T22:42:12Z</vt:lpwstr>
  </property>
  <property fmtid="{D5CDD505-2E9C-101B-9397-08002B2CF9AE}" pid="7" name="MSIP_Label_661a4b63-236e-4cee-94fb-d8b11d9f4647_Method">
    <vt:lpwstr>Standard</vt:lpwstr>
  </property>
  <property fmtid="{D5CDD505-2E9C-101B-9397-08002B2CF9AE}" pid="8" name="MSIP_Label_661a4b63-236e-4cee-94fb-d8b11d9f4647_Name">
    <vt:lpwstr>Public</vt:lpwstr>
  </property>
  <property fmtid="{D5CDD505-2E9C-101B-9397-08002B2CF9AE}" pid="9" name="MSIP_Label_661a4b63-236e-4cee-94fb-d8b11d9f4647_SiteId">
    <vt:lpwstr>b906ee34-5920-4f51-8e8f-6ba6e033a30e</vt:lpwstr>
  </property>
  <property fmtid="{D5CDD505-2E9C-101B-9397-08002B2CF9AE}" pid="10" name="MSIP_Label_661a4b63-236e-4cee-94fb-d8b11d9f4647_ActionId">
    <vt:lpwstr>aeb95de4-e080-4686-b1d4-0000d09a84ca</vt:lpwstr>
  </property>
  <property fmtid="{D5CDD505-2E9C-101B-9397-08002B2CF9AE}" pid="11" name="MSIP_Label_661a4b63-236e-4cee-94fb-d8b11d9f4647_ContentBits">
    <vt:lpwstr>0</vt:lpwstr>
  </property>
</Properties>
</file>